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SEWModel" sheetId="1" r:id="rId1"/>
    <sheet name="Sheet2" sheetId="2" r:id="rId2"/>
    <sheet name="Sheet3" sheetId="3" r:id="rId3"/>
  </sheets>
  <definedNames>
    <definedName name="\Z">'SEWModel'!#REF!</definedName>
    <definedName name="_xlnm.Print_Area" localSheetId="0">'SEWModel'!$A$1:$E$315</definedName>
  </definedNames>
  <calcPr fullCalcOnLoad="1"/>
</workbook>
</file>

<file path=xl/comments1.xml><?xml version="1.0" encoding="utf-8"?>
<comments xmlns="http://schemas.openxmlformats.org/spreadsheetml/2006/main">
  <authors>
    <author>Donald G. Levis</author>
    <author>Preferred Customer</author>
  </authors>
  <commentList>
    <comment ref="B1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You might need to change one row of the blue box values (Columns G thru W for Column B values) for pregnancy loss over time to match the entered farrowing rate value.</t>
        </r>
      </text>
    </comment>
    <comment ref="C1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You might need to change one row of the blue box values (Columns G thru W for Column C values) for pregnancy loss over time to match the entered farrowing rate value.</t>
        </r>
      </text>
    </comment>
    <comment ref="D1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You might need to change one row of the blue box values (Columns G thru W for Column D values) for pregnancy loss over time to match the entered farrowing rate value.</t>
        </r>
      </text>
    </comment>
    <comment ref="E1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You might need to change one row of the blue box values (Column G thru W for Column E values) for pregnancy loss over time to match the entered farrowing rate value.</t>
        </r>
      </text>
    </comment>
    <comment ref="B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is used to calculate the number of females to breed whereby the farrowing crates are utilized at capacity.</t>
        </r>
      </text>
    </comment>
    <comment ref="C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is used to calculate the number of females to breed whereby the farrowing crates are utilized at capacity.</t>
        </r>
      </text>
    </comment>
    <comment ref="D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is used to calculate the number of females to breed whereby the farrowing crates are utilized at capacity.</t>
        </r>
      </text>
    </comment>
    <comment ref="E28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is used to calculate the number of females to breed whereby the farrowing crates are utilized at capacity.</t>
        </r>
      </text>
    </comment>
    <comment ref="B173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should be the same as B21.</t>
        </r>
      </text>
    </comment>
    <comment ref="C173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should be the same as C21.</t>
        </r>
      </text>
    </comment>
    <comment ref="D173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should be the same as D21.</t>
        </r>
      </text>
    </comment>
    <comment ref="E173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This value should be the same as E21.</t>
        </r>
      </text>
    </comment>
    <comment ref="B4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If B35 is greater than "0", a value greater than "0" has to be entered in this cell.</t>
        </r>
      </text>
    </comment>
    <comment ref="C4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If B35 is greater than "0", a value greater than "0" has to be entered in this cell.</t>
        </r>
      </text>
    </comment>
    <comment ref="D4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If B35 is greater than "0", a value greater than "0" has to be entered in this cell.</t>
        </r>
      </text>
    </comment>
    <comment ref="E42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If B35 is greater than "0", a value greater than "0" has to be entered in this cell.</t>
        </r>
      </text>
    </comment>
    <comment ref="B46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If B36 or B 37 is greater than "0", a value greater than "0" has to be entered in this cell.</t>
        </r>
      </text>
    </comment>
    <comment ref="C46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If B36 or B 37 is greater than "0", a value greater than "0" has to be entered in this cell.</t>
        </r>
      </text>
    </comment>
    <comment ref="D46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If B36 or B 37 is greater than "0", a value greater than "0" has to be entered in this cell.</t>
        </r>
      </text>
    </comment>
    <comment ref="E46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If B36 or B 37 is greater than "0", a value greater than "0" has to be entered in this cell.</t>
        </r>
      </text>
    </comment>
    <comment ref="B37" authorId="1">
      <text>
        <r>
          <rPr>
            <b/>
            <sz val="8"/>
            <rFont val="Tahoma"/>
            <family val="2"/>
          </rPr>
          <t>Donald G. Levis:</t>
        </r>
        <r>
          <rPr>
            <sz val="8"/>
            <rFont val="Tahoma"/>
            <family val="0"/>
          </rPr>
          <t xml:space="preserve">
Prorated cost per dose for items such as: microscope, microscope slides, water bath, sperm concentration, scales, semen storage, etc.
</t>
        </r>
      </text>
    </comment>
    <comment ref="C37" authorId="1">
      <text>
        <r>
          <rPr>
            <b/>
            <sz val="8"/>
            <rFont val="Tahoma"/>
            <family val="2"/>
          </rPr>
          <t>Donald G. Levis:</t>
        </r>
        <r>
          <rPr>
            <sz val="8"/>
            <rFont val="Tahoma"/>
            <family val="0"/>
          </rPr>
          <t xml:space="preserve">
Prorated cost per dose for items such as: microscope, microscope slides, water bath, sperm concentration, scales, semen storage, etc.
</t>
        </r>
      </text>
    </comment>
    <comment ref="D37" authorId="1">
      <text>
        <r>
          <rPr>
            <b/>
            <sz val="8"/>
            <rFont val="Tahoma"/>
            <family val="2"/>
          </rPr>
          <t>Donald G. Levis:</t>
        </r>
        <r>
          <rPr>
            <sz val="8"/>
            <rFont val="Tahoma"/>
            <family val="0"/>
          </rPr>
          <t xml:space="preserve">
Prorated cost per dose for items such as: microscope, microscope slides, water bath, sperm concentration, scales, semen storage, etc.
</t>
        </r>
      </text>
    </comment>
    <comment ref="E37" authorId="1">
      <text>
        <r>
          <rPr>
            <b/>
            <sz val="8"/>
            <rFont val="Tahoma"/>
            <family val="2"/>
          </rPr>
          <t>Donald G. Levis:</t>
        </r>
        <r>
          <rPr>
            <sz val="8"/>
            <rFont val="Tahoma"/>
            <family val="0"/>
          </rPr>
          <t xml:space="preserve">
Prorated cost per dose for items such as: microscope, microscope slides, water bath, sperm concentration, scales, semen storage, etc.
</t>
        </r>
      </text>
    </comment>
  </commentList>
</comments>
</file>

<file path=xl/sharedStrings.xml><?xml version="1.0" encoding="utf-8"?>
<sst xmlns="http://schemas.openxmlformats.org/spreadsheetml/2006/main" count="578" uniqueCount="325">
  <si>
    <t xml:space="preserve">  Name of Producer</t>
  </si>
  <si>
    <t>Mr. SEW</t>
  </si>
  <si>
    <t xml:space="preserve">  Rural Route, Street, etc.</t>
  </si>
  <si>
    <t>Hog Wallow Road</t>
  </si>
  <si>
    <t xml:space="preserve">  City/State/Zip Code</t>
  </si>
  <si>
    <t>Lincoln, NE 68583</t>
  </si>
  <si>
    <t xml:space="preserve">  Telephone number</t>
  </si>
  <si>
    <t>402/472-6445</t>
  </si>
  <si>
    <t xml:space="preserve">  Date:</t>
  </si>
  <si>
    <t>August 4, 1998</t>
  </si>
  <si>
    <t>Input Values</t>
  </si>
  <si>
    <t>Information for Replacement Gilts</t>
  </si>
  <si>
    <t xml:space="preserve">  Annualized replacement rate (sows and gilts), %</t>
  </si>
  <si>
    <t xml:space="preserve">  Farrowing rate of replacement gilts, %</t>
  </si>
  <si>
    <t xml:space="preserve">  Replacement gilts purchased, %</t>
  </si>
  <si>
    <t xml:space="preserve">  Purchase price of replacement gilts, $/head</t>
  </si>
  <si>
    <t xml:space="preserve">  Average weight of replacement gilts at entry, lbs</t>
  </si>
  <si>
    <t xml:space="preserve">  Avg days entry-to-service, gilts</t>
  </si>
  <si>
    <t xml:space="preserve">  Number days each group of gilts available for service</t>
  </si>
  <si>
    <t xml:space="preserve">  Number days between delivery of gilts</t>
  </si>
  <si>
    <t xml:space="preserve">  Noncyclic gilts, %</t>
  </si>
  <si>
    <t>Farrowing and Weaned Piglet Information</t>
  </si>
  <si>
    <t xml:space="preserve">  Number of days between farrowing groups</t>
  </si>
  <si>
    <t>Breeding Herd Death Loss Information</t>
  </si>
  <si>
    <t xml:space="preserve">  Annual death loss of females, % of inventory</t>
  </si>
  <si>
    <t xml:space="preserve">  Average weight of dead females, lbs</t>
  </si>
  <si>
    <t>Sale Weights, Selling Prices and Feed Prices</t>
  </si>
  <si>
    <t xml:space="preserve">  Average sale weight of weaned piglets, lbs</t>
  </si>
  <si>
    <t xml:space="preserve">  Average selling price of weaned piglets, $/lb</t>
  </si>
  <si>
    <t xml:space="preserve">  Average sale weight of culled females, lbs</t>
  </si>
  <si>
    <t xml:space="preserve">  Average selling price of culled females, $/lb</t>
  </si>
  <si>
    <t xml:space="preserve">  Purchase price for gestation &amp; open sow feed, $/lb</t>
  </si>
  <si>
    <t xml:space="preserve">  Purchase price for lactation feed, $/lb</t>
  </si>
  <si>
    <t xml:space="preserve">  Purchase price for boar feed, $/lb</t>
  </si>
  <si>
    <t>Average Pounds of Feed Per Animal</t>
  </si>
  <si>
    <t xml:space="preserve">  Open females not gestating or lactating, lbs/day</t>
  </si>
  <si>
    <t xml:space="preserve">  Gestating females, lbs/day</t>
  </si>
  <si>
    <t xml:space="preserve">  Lactating females, lbs/day</t>
  </si>
  <si>
    <t xml:space="preserve">  Boars, lbs/day</t>
  </si>
  <si>
    <t>Facility Cost</t>
  </si>
  <si>
    <t xml:space="preserve">  Construction cost (breeding/gestation), $/female</t>
  </si>
  <si>
    <t xml:space="preserve">  Construction cost (farrowing), $/space</t>
  </si>
  <si>
    <t xml:space="preserve">  Total number of farrowing crates</t>
  </si>
  <si>
    <t xml:space="preserve">  Construction cost (replacement gilts), $/space</t>
  </si>
  <si>
    <t xml:space="preserve">  Construction cost (AI boars), $/space</t>
  </si>
  <si>
    <t xml:space="preserve">  Construction cost (Heat-check boars), $/space</t>
  </si>
  <si>
    <t xml:space="preserve">  Useful life span of structure, years</t>
  </si>
  <si>
    <t xml:space="preserve">  Percent of construction cost financed</t>
  </si>
  <si>
    <t xml:space="preserve">  Interest rate, %</t>
  </si>
  <si>
    <t xml:space="preserve">  Number of payment periods for the loan</t>
  </si>
  <si>
    <t xml:space="preserve">  Yearly taxes (% of total investment)</t>
  </si>
  <si>
    <t xml:space="preserve">  Yearly insurance (% of total investment)</t>
  </si>
  <si>
    <t>Labor cost</t>
  </si>
  <si>
    <t xml:space="preserve">  Number of employees (Level 1)</t>
  </si>
  <si>
    <t xml:space="preserve">  Average wages per employee, $/hour</t>
  </si>
  <si>
    <t xml:space="preserve">  Average number of hours per week per employee</t>
  </si>
  <si>
    <t xml:space="preserve">  Number of weeks per year </t>
  </si>
  <si>
    <t xml:space="preserve">  Number of employees (Level 2)</t>
  </si>
  <si>
    <t xml:space="preserve">  Number of employees (Level 3)</t>
  </si>
  <si>
    <t>Other Costs</t>
  </si>
  <si>
    <t xml:space="preserve">  Operating loan</t>
  </si>
  <si>
    <t xml:space="preserve">  Interest rate on operating loan, %</t>
  </si>
  <si>
    <t xml:space="preserve">  Number of payment periods for operating loan</t>
  </si>
  <si>
    <t xml:space="preserve">  Utilities (fuel, electricity, etc.), $/pig</t>
  </si>
  <si>
    <t xml:space="preserve">  Veterinary expense and medication, $/pig</t>
  </si>
  <si>
    <t>Calculated Values</t>
  </si>
  <si>
    <t>Farrowings from gilts, %</t>
  </si>
  <si>
    <t>Gross income from sales of piglets</t>
  </si>
  <si>
    <t>Selling price of culled females, $/lb</t>
  </si>
  <si>
    <t>Gross income from culled females</t>
  </si>
  <si>
    <t>Feed for open females,lbs</t>
  </si>
  <si>
    <t>Total cost of feed for open females</t>
  </si>
  <si>
    <t>Feed for gestating females</t>
  </si>
  <si>
    <t>Total cost of feed for gestating females</t>
  </si>
  <si>
    <t>Feed for lactating females, lbs</t>
  </si>
  <si>
    <t>Total cost of feed for lactating females</t>
  </si>
  <si>
    <t>Feed for heat-check boars, lbs</t>
  </si>
  <si>
    <t>Total cost of feed for heat-check boars</t>
  </si>
  <si>
    <t>Total cost of feed for boars</t>
  </si>
  <si>
    <t>Total pounds of feed to breeding herd</t>
  </si>
  <si>
    <t>Total cost of feed to breeding herd</t>
  </si>
  <si>
    <t>Average cost per ton of feed</t>
  </si>
  <si>
    <t>Feed conversion of breeding herd</t>
  </si>
  <si>
    <t>Pounds of feed per piglet sold</t>
  </si>
  <si>
    <t>Gross income from weaned piglets</t>
  </si>
  <si>
    <t>TOTAL GROSS INCOME</t>
  </si>
  <si>
    <t>Total gross income</t>
  </si>
  <si>
    <t>Total feed cost</t>
  </si>
  <si>
    <t>RETURNS ABOVE FEED COSTS</t>
  </si>
  <si>
    <t>Number of gilts to be served per group</t>
  </si>
  <si>
    <t>Number of service eligible gilts</t>
  </si>
  <si>
    <t>Total number of gilts per year</t>
  </si>
  <si>
    <t>Total cost of replacement gilts</t>
  </si>
  <si>
    <t>RETURNS ABOVE FEED &amp; GILT COSTS</t>
  </si>
  <si>
    <t>Total initial cost of facilities</t>
  </si>
  <si>
    <t>Amount financed</t>
  </si>
  <si>
    <t>Principal and interest payment (yearly)</t>
  </si>
  <si>
    <t>Taxes and insurance (yearly)</t>
  </si>
  <si>
    <t>Cost of replacement gilts</t>
  </si>
  <si>
    <t>Number of Litters Farrowed per Year</t>
  </si>
  <si>
    <t>Number of live piglets farrowed per litter</t>
  </si>
  <si>
    <t>Number of piglets weaned per litter</t>
  </si>
  <si>
    <t>Sale price of weaned piglets, $/lb</t>
  </si>
  <si>
    <t>Sale price of culled females, $/lb</t>
  </si>
  <si>
    <t>Number of piglets weaned per female per year</t>
  </si>
  <si>
    <t>Gross income from weaned piglets, $</t>
  </si>
  <si>
    <t>Gross income from culled females, $</t>
  </si>
  <si>
    <t>Software:  Microsoft Excel 97</t>
  </si>
  <si>
    <t>Donald G. Levis, Ph.D.</t>
  </si>
  <si>
    <t>Extension Swine Specialist</t>
  </si>
  <si>
    <t>Department of Animal Science</t>
  </si>
  <si>
    <t>University of Nebraska</t>
  </si>
  <si>
    <t>P.O. Box 830908</t>
  </si>
  <si>
    <t>Lincoln, NE 68583-0908</t>
  </si>
  <si>
    <t>Telephone: 402/472-6445</t>
  </si>
  <si>
    <t>FAX: 402/472-6362</t>
  </si>
  <si>
    <t>E-Mail: ansc307@unlvm.unl.edu</t>
  </si>
  <si>
    <t>Scenario</t>
  </si>
  <si>
    <t>Biological Parameters</t>
  </si>
  <si>
    <t xml:space="preserve">    Normal weaned sows before pigs transferred in</t>
  </si>
  <si>
    <t xml:space="preserve">    Early weaned/problem sows before pigs transferred out</t>
  </si>
  <si>
    <t xml:space="preserve">    Proportion of farrowing that are early weaned/problem sows</t>
  </si>
  <si>
    <t>Gestation Length, days</t>
  </si>
  <si>
    <t>Average Weaning-to-Service Interval, days</t>
  </si>
  <si>
    <t>Length of production period analyzed, days</t>
  </si>
  <si>
    <t>Farrowing Facility &amp; Management Parameters</t>
  </si>
  <si>
    <t>Length of breeding period, days</t>
  </si>
  <si>
    <t>Farrowing Crate Tie-up before farrowing, days</t>
  </si>
  <si>
    <t>Longest Lactation Length, days</t>
  </si>
  <si>
    <t>Farrowing Crate "down time" (cleaning, idle, etc.), days</t>
  </si>
  <si>
    <t>Total Number of Farrowing Crates</t>
  </si>
  <si>
    <t>Interval Between Farrowing Groups, days</t>
  </si>
  <si>
    <t>Expected Farrowing Crate Utilization, %</t>
  </si>
  <si>
    <t>Actual Farrowing Crate Utilization, %</t>
  </si>
  <si>
    <t>Management Parameters</t>
  </si>
  <si>
    <t>Number of Matings Per Female Per Service</t>
  </si>
  <si>
    <t xml:space="preserve">   Natural matings with boars</t>
  </si>
  <si>
    <t>Number of Natural Matings Per Boar Per Unit of Time</t>
  </si>
  <si>
    <t>% Active Boars for natural matings</t>
  </si>
  <si>
    <t>Number of sows per heat-check boar:</t>
  </si>
  <si>
    <t xml:space="preserve">    When artificially inseminating sows</t>
  </si>
  <si>
    <t xml:space="preserve">    When heat-checking gestation sows</t>
  </si>
  <si>
    <t>Number of groups of sows gestating</t>
  </si>
  <si>
    <t>Average Number of Pigs Born Live per Litter:</t>
  </si>
  <si>
    <t>Additional space in breeding facility</t>
  </si>
  <si>
    <t>Enter percentage of number of sows weaned per group</t>
  </si>
  <si>
    <t>Number of farrowing crates per group</t>
  </si>
  <si>
    <t>Number of females bred per group</t>
  </si>
  <si>
    <t>Number of groups bred during period analyzed</t>
  </si>
  <si>
    <t>Total number of females bred during period analyzed</t>
  </si>
  <si>
    <t>Total number of females farrowed during period analyzed</t>
  </si>
  <si>
    <t>Calculated farrowing rate, %</t>
  </si>
  <si>
    <t>Average number of piglets born live per litter</t>
  </si>
  <si>
    <t>Number of females farrowing per group</t>
  </si>
  <si>
    <t>Total number of piglets born live per group farrowed</t>
  </si>
  <si>
    <t>Total number of piglets weaned per group farrowed</t>
  </si>
  <si>
    <t>Average number of piglets weaned per litter</t>
  </si>
  <si>
    <t>Preweaning survival (birth to weaning), %</t>
  </si>
  <si>
    <t>Total number of piglets weaned during period analyzed</t>
  </si>
  <si>
    <t>Minimum number of boars needed for 'on-farm' semen</t>
  </si>
  <si>
    <t>Minimum number of boars needed for 'off-farm' semen</t>
  </si>
  <si>
    <t>Total number of boars to produce semen</t>
  </si>
  <si>
    <t>Calculating Inventory of Boars to Produce Semen</t>
  </si>
  <si>
    <t>Breeding Data</t>
  </si>
  <si>
    <r>
      <t>Number of female services by</t>
    </r>
    <r>
      <rPr>
        <b/>
        <sz val="10"/>
        <rFont val="Arial"/>
        <family val="2"/>
      </rPr>
      <t xml:space="preserve"> 'on-farm' </t>
    </r>
    <r>
      <rPr>
        <sz val="10"/>
        <rFont val="Arial"/>
        <family val="2"/>
      </rPr>
      <t>AI semen</t>
    </r>
  </si>
  <si>
    <r>
      <t xml:space="preserve">Number of female services by </t>
    </r>
    <r>
      <rPr>
        <b/>
        <sz val="10"/>
        <rFont val="Arial"/>
        <family val="2"/>
      </rPr>
      <t>'off-farm'</t>
    </r>
    <r>
      <rPr>
        <sz val="10"/>
        <rFont val="Arial"/>
        <family val="2"/>
      </rPr>
      <t xml:space="preserve"> AI semen</t>
    </r>
  </si>
  <si>
    <t>Calculating Inventory of Heat-Check Boars</t>
  </si>
  <si>
    <t>Number of boars needed while inseminating females</t>
  </si>
  <si>
    <t>Number of boars needed for checking heat of gestating sows</t>
  </si>
  <si>
    <t>Percentage of females pregnant (end of week)</t>
  </si>
  <si>
    <t xml:space="preserve">    Week 1 of Gestation</t>
  </si>
  <si>
    <t xml:space="preserve">    Week 2 of Gestation</t>
  </si>
  <si>
    <t xml:space="preserve">    Week 3 of Gestation</t>
  </si>
  <si>
    <t xml:space="preserve">    Week 4 of Gestation</t>
  </si>
  <si>
    <t xml:space="preserve">    Week 5 of Gestation</t>
  </si>
  <si>
    <t xml:space="preserve">    Week 6 of Gestation</t>
  </si>
  <si>
    <t xml:space="preserve">    Week 7 of Gestation</t>
  </si>
  <si>
    <t xml:space="preserve">    Week 8 of Gestation</t>
  </si>
  <si>
    <t xml:space="preserve">    Week 9 of Gestation</t>
  </si>
  <si>
    <t xml:space="preserve">    Week 10 of Gestation</t>
  </si>
  <si>
    <t xml:space="preserve">    Week 11 of Gestation</t>
  </si>
  <si>
    <t xml:space="preserve">    Week 12 of Gestation</t>
  </si>
  <si>
    <t xml:space="preserve">    Week 13 of Gestation</t>
  </si>
  <si>
    <t xml:space="preserve">    Week 14 of Gestation</t>
  </si>
  <si>
    <t xml:space="preserve">    Week 15 of Gestation</t>
  </si>
  <si>
    <t xml:space="preserve">    Week 16 of Gestation</t>
  </si>
  <si>
    <t>Total number of females gestating:</t>
  </si>
  <si>
    <t>Space for recently weaned sows:</t>
  </si>
  <si>
    <t>Additional space for "problem" females</t>
  </si>
  <si>
    <t>Females in breeding &amp; gestation (without gilts):</t>
  </si>
  <si>
    <t xml:space="preserve">    Number of Gilts to be Served Per Group</t>
  </si>
  <si>
    <t xml:space="preserve">    Gilts in Estrus Per Farrowing Group , %</t>
  </si>
  <si>
    <t xml:space="preserve">    Required number of ELIGIBLE gilts</t>
  </si>
  <si>
    <t xml:space="preserve">    Number of "on-deck" Gilts</t>
  </si>
  <si>
    <t>Females in breeding &amp; gestation with gilts:</t>
  </si>
  <si>
    <t>Females in farrowing houses:</t>
  </si>
  <si>
    <t>Total Females in farrowing, breeding &amp; gestation</t>
  </si>
  <si>
    <t>Number of Gilts Per Delivery Group (in isolation)</t>
  </si>
  <si>
    <t>TOTAL FEMALE INVENTORY FOR ENTERPRISE:</t>
  </si>
  <si>
    <t>Estimated farrowing rate of entire herd, %</t>
  </si>
  <si>
    <t>Column B</t>
  </si>
  <si>
    <t>Far rate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</si>
  <si>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</si>
  <si>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</si>
  <si>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</si>
  <si>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</si>
  <si>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</si>
  <si>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</si>
  <si>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</si>
  <si>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</si>
  <si>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</si>
  <si>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</si>
  <si>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</si>
  <si>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</si>
  <si>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</si>
  <si>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</si>
  <si>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</si>
  <si>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</si>
  <si>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Column C</t>
  </si>
  <si>
    <t>Column D</t>
  </si>
  <si>
    <t>Column E</t>
  </si>
  <si>
    <t>Number of</t>
  </si>
  <si>
    <t>Wk13</t>
  </si>
  <si>
    <t>Gest units</t>
  </si>
  <si>
    <t>Row 166</t>
  </si>
  <si>
    <t>Row 167</t>
  </si>
  <si>
    <t>Row 168</t>
  </si>
  <si>
    <t>Row 169</t>
  </si>
  <si>
    <t>Row 170</t>
  </si>
  <si>
    <t>Row 171</t>
  </si>
  <si>
    <t>Row 172</t>
  </si>
  <si>
    <t>Row 173</t>
  </si>
  <si>
    <t>Row 174</t>
  </si>
  <si>
    <t>Row 175</t>
  </si>
  <si>
    <t>Row 176</t>
  </si>
  <si>
    <t>Row 177</t>
  </si>
  <si>
    <t>Row 178</t>
  </si>
  <si>
    <t>Row 179</t>
  </si>
  <si>
    <t>Row 181</t>
  </si>
  <si>
    <t>Row 180</t>
  </si>
  <si>
    <t>Inventory of Females</t>
  </si>
  <si>
    <t>Total number of heat-check boars</t>
  </si>
  <si>
    <t>Farrowings per female per year (without isolated gilts)</t>
  </si>
  <si>
    <t>Total pounds of live animals sold</t>
  </si>
  <si>
    <t>Reproductive Performance during Period Analyzed</t>
  </si>
  <si>
    <t>Item</t>
  </si>
  <si>
    <t>Inventory of Breeding Animals</t>
  </si>
  <si>
    <t>Total number of boars</t>
  </si>
  <si>
    <t>Number of gilts per delivery group (in isolation)</t>
  </si>
  <si>
    <t>Total number of females in farrowing, breeding &amp; gestation</t>
  </si>
  <si>
    <t>Reproductive Performance</t>
  </si>
  <si>
    <t>Proportion of farrowings from gilts, %</t>
  </si>
  <si>
    <t>Total pounds of weaned piglets sold during period analyzed</t>
  </si>
  <si>
    <r>
      <t xml:space="preserve">Total pounds of weaned piglets </t>
    </r>
    <r>
      <rPr>
        <b/>
        <sz val="10"/>
        <rFont val="Arial"/>
        <family val="2"/>
      </rPr>
      <t>sold</t>
    </r>
    <r>
      <rPr>
        <sz val="10"/>
        <rFont val="Arial"/>
        <family val="2"/>
      </rPr>
      <t xml:space="preserve"> during period analyzed</t>
    </r>
  </si>
  <si>
    <t>Repairs and maintenance (yearly)</t>
  </si>
  <si>
    <t>Cost of facilities</t>
  </si>
  <si>
    <t xml:space="preserve">   Breeding/gestation for sows (initial cost)</t>
  </si>
  <si>
    <t xml:space="preserve">   Farrowing facility (initial cost)</t>
  </si>
  <si>
    <t>Cost of feed</t>
  </si>
  <si>
    <t xml:space="preserve">   Cost of open sow feed</t>
  </si>
  <si>
    <t xml:space="preserve">   Cost of gestation feed</t>
  </si>
  <si>
    <t xml:space="preserve">   Cost of lactation feed</t>
  </si>
  <si>
    <t xml:space="preserve">   Cost of boar feed</t>
  </si>
  <si>
    <t>Total cost of feed</t>
  </si>
  <si>
    <t>Cost of utilities</t>
  </si>
  <si>
    <t>Cost of veterinary services and medicine</t>
  </si>
  <si>
    <t>Facility cost for peroid analyzed</t>
  </si>
  <si>
    <t xml:space="preserve">Repayment of operating loan </t>
  </si>
  <si>
    <t>Recover of nonfinanced down payment (yearly)</t>
  </si>
  <si>
    <t>TOTAL EXPENSE</t>
  </si>
  <si>
    <t>EXPENSE ITEMS</t>
  </si>
  <si>
    <t>GROSS INCOME ITEMS</t>
  </si>
  <si>
    <t>Gross Income minus Total Expense</t>
  </si>
  <si>
    <t>Total number of gilts during period of analysis</t>
  </si>
  <si>
    <t>Number of gilts per delivery</t>
  </si>
  <si>
    <t xml:space="preserve">   Gilt facility in breeding area (initial cost)</t>
  </si>
  <si>
    <t xml:space="preserve">   Gilt facility in isolation area (initial cost)</t>
  </si>
  <si>
    <t xml:space="preserve">   Boar facility for heat-check boars (initial cost)</t>
  </si>
  <si>
    <t xml:space="preserve">  Construction cost (gilts in isolation), $/space</t>
  </si>
  <si>
    <t xml:space="preserve">  Repairs and maintenance (% of total investment)</t>
  </si>
  <si>
    <t>Cost of labor</t>
  </si>
  <si>
    <t>Total Gross Income, $</t>
  </si>
  <si>
    <r>
      <t>Number of female services by</t>
    </r>
    <r>
      <rPr>
        <b/>
        <sz val="10"/>
        <rFont val="Arial"/>
        <family val="2"/>
      </rPr>
      <t xml:space="preserve"> boars</t>
    </r>
    <r>
      <rPr>
        <sz val="10"/>
        <rFont val="Arial"/>
        <family val="2"/>
      </rPr>
      <t xml:space="preserve"> per unit of time</t>
    </r>
  </si>
  <si>
    <t>Feed for AI and(or) natural service boars, lbs</t>
  </si>
  <si>
    <t>Total cost of feed for AI and(or) natural service boars</t>
  </si>
  <si>
    <t>Number of Farrowing Units (calculated value)</t>
  </si>
  <si>
    <r>
      <t xml:space="preserve">Number of </t>
    </r>
    <r>
      <rPr>
        <b/>
        <i/>
        <sz val="10"/>
        <rFont val="Arial"/>
        <family val="2"/>
      </rPr>
      <t>productive</t>
    </r>
    <r>
      <rPr>
        <sz val="10"/>
        <rFont val="Arial"/>
        <family val="2"/>
      </rPr>
      <t xml:space="preserve"> groups of sows (rounded down)</t>
    </r>
  </si>
  <si>
    <t>Natural service boars:</t>
  </si>
  <si>
    <t xml:space="preserve">   Average purchase price per boar, $</t>
  </si>
  <si>
    <t xml:space="preserve">   Average useful life per boar, months</t>
  </si>
  <si>
    <t xml:space="preserve">   Average cull value per boar, $</t>
  </si>
  <si>
    <t>Artificial insemination boars:</t>
  </si>
  <si>
    <t>Number of times each AI boar is collected per group bred</t>
  </si>
  <si>
    <t>Average number of doses per AI boar per collection</t>
  </si>
  <si>
    <t>Proportion of AI collections discarded due to semen quality</t>
  </si>
  <si>
    <t>Weight gain of culled &amp; sold sows &amp; gilts, lbs</t>
  </si>
  <si>
    <t xml:space="preserve">   Per natural mating by boars, $</t>
  </si>
  <si>
    <t xml:space="preserve">   Per AI dose of "on-farm" semen, $</t>
  </si>
  <si>
    <t xml:space="preserve">   Per AI dose of "off-farm" semen, $</t>
  </si>
  <si>
    <t>Genetic cost of semen per period of analysis</t>
  </si>
  <si>
    <r>
      <t>Total number of artificial matings by "</t>
    </r>
    <r>
      <rPr>
        <b/>
        <sz val="10"/>
        <rFont val="Arial"/>
        <family val="2"/>
      </rPr>
      <t>off-farm</t>
    </r>
    <r>
      <rPr>
        <sz val="10"/>
        <rFont val="Arial"/>
        <family val="2"/>
      </rPr>
      <t>" semen</t>
    </r>
  </si>
  <si>
    <r>
      <t>Total number of artificial matings by "</t>
    </r>
    <r>
      <rPr>
        <b/>
        <sz val="10"/>
        <rFont val="Arial"/>
        <family val="2"/>
      </rPr>
      <t>on-farm</t>
    </r>
    <r>
      <rPr>
        <sz val="10"/>
        <rFont val="Arial"/>
        <family val="2"/>
      </rPr>
      <t>" semen</t>
    </r>
  </si>
  <si>
    <r>
      <t xml:space="preserve">Total number of natural matings by </t>
    </r>
    <r>
      <rPr>
        <b/>
        <sz val="10"/>
        <rFont val="Arial"/>
        <family val="2"/>
      </rPr>
      <t>boars</t>
    </r>
  </si>
  <si>
    <t>Minimum number of boars needed for natural matings</t>
  </si>
  <si>
    <t xml:space="preserve">   Boar facility for AI &amp; natural service boars (initial cost)</t>
  </si>
  <si>
    <t xml:space="preserve">  Average weight gain of problem gilts before culled, lbs</t>
  </si>
  <si>
    <r>
      <t xml:space="preserve">   Artificial matings with </t>
    </r>
    <r>
      <rPr>
        <b/>
        <sz val="10"/>
        <rFont val="Arial"/>
        <family val="2"/>
      </rPr>
      <t>"on-farm"</t>
    </r>
    <r>
      <rPr>
        <sz val="10"/>
        <rFont val="Arial"/>
        <family val="2"/>
      </rPr>
      <t xml:space="preserve"> collected semen</t>
    </r>
  </si>
  <si>
    <r>
      <t xml:space="preserve">   Artificial matings with </t>
    </r>
    <r>
      <rPr>
        <b/>
        <sz val="10"/>
        <rFont val="Arial"/>
        <family val="2"/>
      </rPr>
      <t>"off-farm"</t>
    </r>
    <r>
      <rPr>
        <sz val="10"/>
        <rFont val="Arial"/>
        <family val="2"/>
      </rPr>
      <t xml:space="preserve"> producer owned boars</t>
    </r>
  </si>
  <si>
    <r>
      <t xml:space="preserve">   Artificial matings with </t>
    </r>
    <r>
      <rPr>
        <b/>
        <sz val="10"/>
        <rFont val="Arial"/>
        <family val="2"/>
      </rPr>
      <t>"commercial"</t>
    </r>
    <r>
      <rPr>
        <sz val="10"/>
        <rFont val="Arial"/>
        <family val="2"/>
      </rPr>
      <t xml:space="preserve"> semen</t>
    </r>
  </si>
  <si>
    <t xml:space="preserve">  Average age of piglets at weaning, days</t>
  </si>
  <si>
    <t xml:space="preserve">   Per AI dose of "commercial" semen, $</t>
  </si>
  <si>
    <r>
      <t>Total number of artificial matings by "</t>
    </r>
    <r>
      <rPr>
        <b/>
        <sz val="10"/>
        <rFont val="Arial"/>
        <family val="2"/>
      </rPr>
      <t>commercial</t>
    </r>
    <r>
      <rPr>
        <sz val="10"/>
        <rFont val="Arial"/>
        <family val="2"/>
      </rPr>
      <t>" semen</t>
    </r>
  </si>
  <si>
    <t>Natural</t>
  </si>
  <si>
    <t>On-farm</t>
  </si>
  <si>
    <t>Off-farm</t>
  </si>
  <si>
    <t>Commercial</t>
  </si>
  <si>
    <r>
      <t xml:space="preserve">Cost per dose of </t>
    </r>
    <r>
      <rPr>
        <b/>
        <sz val="10"/>
        <rFont val="Arial"/>
        <family val="2"/>
      </rPr>
      <t>"commercial"</t>
    </r>
    <r>
      <rPr>
        <sz val="10"/>
        <rFont val="Arial"/>
        <family val="2"/>
      </rPr>
      <t xml:space="preserve"> semen, $</t>
    </r>
  </si>
  <si>
    <r>
      <t xml:space="preserve">Fixed and variable cost per dose of </t>
    </r>
    <r>
      <rPr>
        <b/>
        <sz val="10"/>
        <rFont val="Arial"/>
        <family val="2"/>
      </rPr>
      <t>"off-farm"</t>
    </r>
    <r>
      <rPr>
        <sz val="10"/>
        <rFont val="Arial"/>
        <family val="2"/>
      </rPr>
      <t xml:space="preserve"> semen, $</t>
    </r>
  </si>
  <si>
    <t>Total "genetic" cost of semen per period of analysis, $</t>
  </si>
  <si>
    <t>Summary for Producing Segregated-Early-Weaned Pigs</t>
  </si>
  <si>
    <r>
      <t xml:space="preserve">Total fixed &amp; variable cost for processing </t>
    </r>
    <r>
      <rPr>
        <b/>
        <sz val="10"/>
        <rFont val="Arial"/>
        <family val="2"/>
      </rPr>
      <t>on-farm</t>
    </r>
    <r>
      <rPr>
        <sz val="10"/>
        <rFont val="Arial"/>
        <family val="2"/>
      </rPr>
      <t xml:space="preserve"> semen, $</t>
    </r>
  </si>
  <si>
    <r>
      <t xml:space="preserve">Total fixed and variable cost of </t>
    </r>
    <r>
      <rPr>
        <b/>
        <sz val="10"/>
        <rFont val="Arial"/>
        <family val="2"/>
      </rPr>
      <t>"off-farm"</t>
    </r>
    <r>
      <rPr>
        <sz val="10"/>
        <rFont val="Arial"/>
        <family val="2"/>
      </rPr>
      <t xml:space="preserve"> semen, $</t>
    </r>
  </si>
  <si>
    <t>Cost of semen</t>
  </si>
  <si>
    <t>(May 25, 1999)</t>
  </si>
  <si>
    <r>
      <t xml:space="preserve">Fixed &amp; variable cost per dose for </t>
    </r>
    <r>
      <rPr>
        <b/>
        <i/>
        <sz val="10"/>
        <rFont val="Arial"/>
        <family val="2"/>
      </rPr>
      <t>processing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on-farm</t>
    </r>
    <r>
      <rPr>
        <sz val="10"/>
        <rFont val="Arial"/>
        <family val="2"/>
      </rPr>
      <t xml:space="preserve"> semen, $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</si>
</sst>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&quot;$&quot;#,##0.0000_);\(&quot;$&quot;#,##0.0000\)"/>
    <numFmt numFmtId="168" formatCode="&quot;$&quot;#,##0.000_);\(&quot;$&quot;#,##0.000\)"/>
    <numFmt numFmtId="169" formatCode="0.000"/>
    <numFmt numFmtId="170" formatCode="mmmm\ d\,\ yyyy"/>
    <numFmt numFmtId="171" formatCode="&quot;$&quot;#,##0"/>
    <numFmt numFmtId="172" formatCode="00000"/>
    <numFmt numFmtId="173" formatCode="&quot;$&quot;#,##0.00"/>
    <numFmt numFmtId="174" formatCode="&quot;$&quot;#,##0.0"/>
    <numFmt numFmtId="175" formatCode="#,##0.0_);\(#,##0.0\)"/>
    <numFmt numFmtId="176" formatCode="&quot;$&quot;#,##0.0_);\(&quot;$&quot;#,##0.0\)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fgColor indexed="32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gray0625">
        <fgColor indexed="3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27">
      <alignment/>
      <protection/>
    </xf>
    <xf numFmtId="0" fontId="0" fillId="2" borderId="0" xfId="28" applyFont="1" applyFill="1" applyAlignment="1" applyProtection="1">
      <alignment/>
      <protection locked="0"/>
    </xf>
    <xf numFmtId="0" fontId="0" fillId="2" borderId="0" xfId="27" applyFill="1">
      <alignment/>
      <protection/>
    </xf>
    <xf numFmtId="0" fontId="0" fillId="2" borderId="0" xfId="28" applyFont="1" applyFill="1" applyAlignment="1" applyProtection="1">
      <alignment horizontal="center"/>
      <protection locked="0"/>
    </xf>
    <xf numFmtId="0" fontId="0" fillId="0" borderId="0" xfId="28" applyFont="1" applyAlignment="1" applyProtection="1">
      <alignment/>
      <protection locked="0"/>
    </xf>
    <xf numFmtId="0" fontId="0" fillId="0" borderId="0" xfId="28" applyFont="1" applyAlignment="1">
      <alignment horizontal="center"/>
    </xf>
    <xf numFmtId="0" fontId="0" fillId="3" borderId="0" xfId="28" applyFont="1" applyFill="1" applyAlignment="1" applyProtection="1">
      <alignment horizontal="center"/>
      <protection locked="0"/>
    </xf>
    <xf numFmtId="0" fontId="0" fillId="4" borderId="0" xfId="28" applyFont="1" applyFill="1" applyAlignment="1">
      <alignment horizontal="center"/>
    </xf>
    <xf numFmtId="0" fontId="0" fillId="5" borderId="0" xfId="28" applyFont="1" applyFill="1" applyAlignment="1">
      <alignment/>
    </xf>
    <xf numFmtId="0" fontId="0" fillId="5" borderId="0" xfId="28" applyFont="1" applyFill="1" applyAlignment="1">
      <alignment horizontal="center"/>
    </xf>
    <xf numFmtId="0" fontId="0" fillId="6" borderId="0" xfId="28" applyFont="1" applyFill="1" applyAlignment="1">
      <alignment horizontal="center"/>
    </xf>
    <xf numFmtId="0" fontId="3" fillId="0" borderId="0" xfId="28" applyFont="1" applyAlignment="1">
      <alignment horizontal="center"/>
    </xf>
    <xf numFmtId="0" fontId="3" fillId="0" borderId="0" xfId="28" applyFont="1" applyAlignment="1">
      <alignment/>
    </xf>
    <xf numFmtId="10" fontId="0" fillId="2" borderId="0" xfId="28" applyNumberFormat="1" applyFont="1" applyFill="1" applyAlignment="1" applyProtection="1">
      <alignment horizontal="center"/>
      <protection locked="0"/>
    </xf>
    <xf numFmtId="5" fontId="0" fillId="2" borderId="0" xfId="28" applyNumberFormat="1" applyFont="1" applyFill="1" applyAlignment="1" applyProtection="1">
      <alignment horizontal="center"/>
      <protection locked="0"/>
    </xf>
    <xf numFmtId="7" fontId="0" fillId="2" borderId="0" xfId="28" applyNumberFormat="1" applyFont="1" applyFill="1" applyAlignment="1" applyProtection="1">
      <alignment horizontal="center"/>
      <protection locked="0"/>
    </xf>
    <xf numFmtId="167" fontId="0" fillId="2" borderId="0" xfId="28" applyNumberFormat="1" applyFont="1" applyFill="1" applyAlignment="1" applyProtection="1">
      <alignment horizontal="center"/>
      <protection locked="0"/>
    </xf>
    <xf numFmtId="168" fontId="0" fillId="2" borderId="0" xfId="28" applyNumberFormat="1" applyFont="1" applyFill="1" applyAlignment="1" applyProtection="1">
      <alignment horizontal="center"/>
      <protection locked="0"/>
    </xf>
    <xf numFmtId="171" fontId="0" fillId="7" borderId="0" xfId="28" applyNumberFormat="1" applyFont="1" applyFill="1" applyAlignment="1" applyProtection="1">
      <alignment horizontal="center"/>
      <protection locked="0"/>
    </xf>
    <xf numFmtId="166" fontId="0" fillId="2" borderId="0" xfId="28" applyNumberFormat="1" applyFont="1" applyFill="1" applyAlignment="1" applyProtection="1">
      <alignment horizontal="center"/>
      <protection locked="0"/>
    </xf>
    <xf numFmtId="0" fontId="4" fillId="0" borderId="0" xfId="28" applyFont="1" applyAlignment="1">
      <alignment/>
    </xf>
    <xf numFmtId="0" fontId="0" fillId="0" borderId="0" xfId="28" applyFont="1" applyAlignment="1">
      <alignment horizontal="right"/>
    </xf>
    <xf numFmtId="5" fontId="0" fillId="3" borderId="0" xfId="28" applyNumberFormat="1" applyFont="1" applyFill="1" applyAlignment="1" applyProtection="1">
      <alignment horizontal="center"/>
      <protection locked="0"/>
    </xf>
    <xf numFmtId="10" fontId="0" fillId="3" borderId="0" xfId="28" applyNumberFormat="1" applyFont="1" applyFill="1" applyAlignment="1" applyProtection="1">
      <alignment horizontal="center"/>
      <protection locked="0"/>
    </xf>
    <xf numFmtId="7" fontId="0" fillId="3" borderId="0" xfId="28" applyNumberFormat="1" applyFont="1" applyFill="1" applyAlignment="1" applyProtection="1">
      <alignment horizontal="center"/>
      <protection locked="0"/>
    </xf>
    <xf numFmtId="0" fontId="0" fillId="5" borderId="0" xfId="28" applyFont="1" applyFill="1" applyAlignment="1">
      <alignment horizontal="left"/>
    </xf>
    <xf numFmtId="0" fontId="0" fillId="8" borderId="0" xfId="27" applyFill="1">
      <alignment/>
      <protection/>
    </xf>
    <xf numFmtId="0" fontId="0" fillId="0" borderId="0" xfId="28" applyFont="1" applyAlignment="1">
      <alignment horizontal="left"/>
    </xf>
    <xf numFmtId="0" fontId="0" fillId="0" borderId="0" xfId="28" applyFont="1" applyAlignment="1">
      <alignment/>
    </xf>
    <xf numFmtId="166" fontId="0" fillId="0" borderId="0" xfId="28" applyNumberFormat="1" applyFont="1" applyAlignment="1">
      <alignment horizontal="center"/>
    </xf>
    <xf numFmtId="2" fontId="0" fillId="0" borderId="0" xfId="28" applyNumberFormat="1" applyFont="1" applyAlignment="1">
      <alignment horizontal="center"/>
    </xf>
    <xf numFmtId="1" fontId="0" fillId="0" borderId="0" xfId="28" applyNumberFormat="1" applyFont="1" applyAlignment="1">
      <alignment horizontal="center"/>
    </xf>
    <xf numFmtId="7" fontId="0" fillId="0" borderId="0" xfId="28" applyNumberFormat="1" applyFont="1" applyAlignment="1">
      <alignment horizontal="center"/>
    </xf>
    <xf numFmtId="0" fontId="3" fillId="0" borderId="0" xfId="28" applyFont="1" applyAlignment="1">
      <alignment horizontal="left"/>
    </xf>
    <xf numFmtId="5" fontId="3" fillId="0" borderId="0" xfId="28" applyNumberFormat="1" applyFont="1" applyAlignment="1">
      <alignment horizontal="center"/>
    </xf>
    <xf numFmtId="167" fontId="0" fillId="0" borderId="0" xfId="28" applyNumberFormat="1" applyFont="1" applyAlignment="1">
      <alignment horizontal="center"/>
    </xf>
    <xf numFmtId="5" fontId="0" fillId="0" borderId="0" xfId="28" applyNumberFormat="1" applyFont="1" applyAlignment="1">
      <alignment horizontal="center"/>
    </xf>
    <xf numFmtId="165" fontId="0" fillId="0" borderId="0" xfId="28" applyNumberFormat="1" applyFont="1" applyAlignment="1">
      <alignment horizontal="center"/>
    </xf>
    <xf numFmtId="0" fontId="3" fillId="5" borderId="0" xfId="28" applyFont="1" applyFill="1" applyAlignment="1">
      <alignment horizontal="left"/>
    </xf>
    <xf numFmtId="0" fontId="3" fillId="5" borderId="0" xfId="28" applyFont="1" applyFill="1" applyAlignment="1">
      <alignment horizontal="center"/>
    </xf>
    <xf numFmtId="0" fontId="3" fillId="0" borderId="0" xfId="28" applyFont="1" applyFill="1" applyAlignment="1">
      <alignment horizontal="center"/>
    </xf>
    <xf numFmtId="5" fontId="0" fillId="0" borderId="0" xfId="28" applyNumberFormat="1" applyFont="1" applyFill="1" applyAlignment="1">
      <alignment horizontal="center"/>
    </xf>
    <xf numFmtId="0" fontId="0" fillId="0" borderId="0" xfId="28" applyFont="1" applyFill="1" applyAlignment="1">
      <alignment horizontal="center"/>
    </xf>
    <xf numFmtId="0" fontId="0" fillId="9" borderId="0" xfId="27" applyFill="1">
      <alignment/>
      <protection/>
    </xf>
    <xf numFmtId="0" fontId="0" fillId="0" borderId="0" xfId="27" applyFont="1">
      <alignment/>
      <protection/>
    </xf>
    <xf numFmtId="0" fontId="0" fillId="0" borderId="0" xfId="28" applyFont="1" applyFill="1" applyAlignment="1">
      <alignment/>
    </xf>
    <xf numFmtId="0" fontId="3" fillId="0" borderId="0" xfId="28" applyFont="1" applyFill="1" applyAlignment="1">
      <alignment/>
    </xf>
    <xf numFmtId="10" fontId="0" fillId="0" borderId="0" xfId="28" applyNumberFormat="1" applyFont="1" applyFill="1" applyAlignment="1" applyProtection="1">
      <alignment horizontal="center"/>
      <protection/>
    </xf>
    <xf numFmtId="10" fontId="0" fillId="0" borderId="0" xfId="27" applyNumberFormat="1">
      <alignment/>
      <protection/>
    </xf>
    <xf numFmtId="0" fontId="3" fillId="0" borderId="0" xfId="27" applyFont="1">
      <alignment/>
      <protection/>
    </xf>
    <xf numFmtId="0" fontId="0" fillId="0" borderId="0" xfId="28" applyFont="1" applyAlignment="1">
      <alignment/>
    </xf>
    <xf numFmtId="0" fontId="3" fillId="0" borderId="0" xfId="28" applyFont="1" applyAlignment="1">
      <alignment/>
    </xf>
    <xf numFmtId="0" fontId="0" fillId="0" borderId="0" xfId="27" applyAlignment="1">
      <alignment horizontal="center"/>
      <protection/>
    </xf>
    <xf numFmtId="0" fontId="0" fillId="0" borderId="0" xfId="28" applyFont="1" applyFill="1" applyAlignment="1">
      <alignment horizontal="left"/>
    </xf>
    <xf numFmtId="0" fontId="3" fillId="0" borderId="0" xfId="28" applyFont="1" applyFill="1" applyAlignment="1">
      <alignment horizontal="left"/>
    </xf>
    <xf numFmtId="165" fontId="0" fillId="0" borderId="0" xfId="28" applyNumberFormat="1" applyFont="1" applyFill="1" applyAlignment="1">
      <alignment horizontal="center"/>
    </xf>
    <xf numFmtId="1" fontId="0" fillId="0" borderId="0" xfId="28" applyNumberFormat="1" applyFont="1" applyFill="1" applyAlignment="1">
      <alignment horizontal="center"/>
    </xf>
    <xf numFmtId="0" fontId="0" fillId="0" borderId="0" xfId="28" applyFont="1" applyFill="1" applyAlignment="1">
      <alignment horizontal="left"/>
    </xf>
    <xf numFmtId="10" fontId="0" fillId="0" borderId="0" xfId="28" applyNumberFormat="1" applyFont="1" applyFill="1" applyAlignment="1">
      <alignment horizontal="center"/>
    </xf>
    <xf numFmtId="2" fontId="0" fillId="0" borderId="0" xfId="28" applyNumberFormat="1" applyFont="1" applyFill="1" applyAlignment="1">
      <alignment horizontal="center"/>
    </xf>
    <xf numFmtId="171" fontId="3" fillId="0" borderId="0" xfId="28" applyNumberFormat="1" applyFont="1" applyFill="1" applyAlignment="1">
      <alignment horizontal="center"/>
    </xf>
    <xf numFmtId="5" fontId="3" fillId="0" borderId="0" xfId="28" applyNumberFormat="1" applyFont="1" applyFill="1" applyAlignment="1">
      <alignment horizontal="center"/>
    </xf>
    <xf numFmtId="0" fontId="3" fillId="0" borderId="0" xfId="28" applyFont="1" applyFill="1" applyAlignment="1">
      <alignment horizontal="right"/>
    </xf>
    <xf numFmtId="165" fontId="3" fillId="0" borderId="0" xfId="28" applyNumberFormat="1" applyFont="1" applyFill="1" applyAlignment="1">
      <alignment horizontal="center"/>
    </xf>
    <xf numFmtId="0" fontId="0" fillId="0" borderId="0" xfId="27" applyFont="1" applyAlignment="1">
      <alignment horizontal="center"/>
      <protection/>
    </xf>
    <xf numFmtId="1" fontId="3" fillId="0" borderId="0" xfId="28" applyNumberFormat="1" applyFont="1" applyFill="1" applyAlignment="1">
      <alignment horizontal="center"/>
    </xf>
    <xf numFmtId="0" fontId="0" fillId="0" borderId="0" xfId="28" applyFont="1" applyAlignment="1" applyProtection="1">
      <alignment horizontal="center"/>
      <protection/>
    </xf>
    <xf numFmtId="0" fontId="0" fillId="0" borderId="0" xfId="27" applyAlignment="1" applyProtection="1">
      <alignment horizontal="center"/>
      <protection/>
    </xf>
    <xf numFmtId="0" fontId="0" fillId="10" borderId="0" xfId="27" applyFill="1" applyAlignment="1">
      <alignment horizontal="center"/>
      <protection/>
    </xf>
    <xf numFmtId="0" fontId="0" fillId="10" borderId="0" xfId="28" applyFont="1" applyFill="1" applyAlignment="1">
      <alignment horizontal="center"/>
    </xf>
    <xf numFmtId="0" fontId="0" fillId="8" borderId="0" xfId="28" applyFont="1" applyFill="1" applyAlignment="1">
      <alignment horizontal="left"/>
    </xf>
    <xf numFmtId="10" fontId="0" fillId="8" borderId="0" xfId="28" applyNumberFormat="1" applyFont="1" applyFill="1" applyAlignment="1">
      <alignment horizontal="center"/>
    </xf>
    <xf numFmtId="0" fontId="0" fillId="8" borderId="0" xfId="28" applyFont="1" applyFill="1" applyAlignment="1" applyProtection="1">
      <alignment horizontal="center"/>
      <protection locked="0"/>
    </xf>
    <xf numFmtId="0" fontId="3" fillId="0" borderId="0" xfId="27" applyFont="1" applyAlignment="1">
      <alignment horizontal="center"/>
      <protection/>
    </xf>
    <xf numFmtId="0" fontId="0" fillId="0" borderId="0" xfId="28" applyFont="1" applyFill="1" applyAlignment="1" applyProtection="1">
      <alignment horizontal="center"/>
      <protection locked="0"/>
    </xf>
    <xf numFmtId="0" fontId="3" fillId="8" borderId="0" xfId="28" applyFont="1" applyFill="1" applyAlignment="1">
      <alignment horizontal="center"/>
    </xf>
    <xf numFmtId="1" fontId="0" fillId="0" borderId="0" xfId="27" applyNumberFormat="1" applyAlignment="1">
      <alignment horizontal="center"/>
      <protection/>
    </xf>
    <xf numFmtId="0" fontId="0" fillId="0" borderId="0" xfId="27" applyFont="1" applyAlignment="1">
      <alignment horizontal="right"/>
      <protection/>
    </xf>
    <xf numFmtId="0" fontId="3" fillId="0" borderId="0" xfId="28" applyFont="1" applyAlignment="1">
      <alignment horizontal="left"/>
    </xf>
    <xf numFmtId="5" fontId="3" fillId="0" borderId="0" xfId="27" applyNumberFormat="1" applyFont="1" applyAlignment="1">
      <alignment horizontal="center"/>
      <protection/>
    </xf>
    <xf numFmtId="5" fontId="3" fillId="0" borderId="0" xfId="28" applyNumberFormat="1" applyFont="1" applyAlignment="1">
      <alignment horizontal="center"/>
    </xf>
    <xf numFmtId="0" fontId="3" fillId="0" borderId="0" xfId="27" applyFont="1" applyAlignment="1">
      <alignment horizontal="right"/>
      <protection/>
    </xf>
    <xf numFmtId="171" fontId="3" fillId="0" borderId="0" xfId="28" applyNumberFormat="1" applyFont="1" applyAlignment="1">
      <alignment horizontal="center"/>
    </xf>
    <xf numFmtId="0" fontId="0" fillId="7" borderId="0" xfId="28" applyFont="1" applyFill="1" applyAlignment="1" applyProtection="1">
      <alignment horizontal="center"/>
      <protection locked="0"/>
    </xf>
    <xf numFmtId="10" fontId="0" fillId="7" borderId="0" xfId="28" applyNumberFormat="1" applyFont="1" applyFill="1" applyAlignment="1" applyProtection="1">
      <alignment horizontal="center"/>
      <protection locked="0"/>
    </xf>
    <xf numFmtId="1" fontId="0" fillId="7" borderId="0" xfId="28" applyNumberFormat="1" applyFont="1" applyFill="1" applyAlignment="1" applyProtection="1">
      <alignment horizontal="center"/>
      <protection locked="0"/>
    </xf>
    <xf numFmtId="165" fontId="0" fillId="7" borderId="0" xfId="28" applyNumberFormat="1" applyFont="1" applyFill="1" applyAlignment="1" applyProtection="1">
      <alignment horizontal="center"/>
      <protection locked="0"/>
    </xf>
    <xf numFmtId="10" fontId="0" fillId="2" borderId="0" xfId="27" applyNumberFormat="1" applyFill="1" applyProtection="1">
      <alignment/>
      <protection locked="0"/>
    </xf>
    <xf numFmtId="173" fontId="0" fillId="2" borderId="0" xfId="27" applyNumberFormat="1" applyFill="1" applyAlignment="1" applyProtection="1">
      <alignment horizontal="center"/>
      <protection locked="0"/>
    </xf>
    <xf numFmtId="2" fontId="0" fillId="2" borderId="0" xfId="27" applyNumberFormat="1" applyFill="1" applyAlignment="1" applyProtection="1">
      <alignment horizontal="center"/>
      <protection locked="0"/>
    </xf>
    <xf numFmtId="10" fontId="0" fillId="2" borderId="0" xfId="27" applyNumberFormat="1" applyFill="1" applyAlignment="1" applyProtection="1">
      <alignment horizontal="center"/>
      <protection locked="0"/>
    </xf>
    <xf numFmtId="0" fontId="0" fillId="2" borderId="0" xfId="27" applyFill="1" applyAlignment="1" applyProtection="1">
      <alignment horizontal="center"/>
      <protection locked="0"/>
    </xf>
    <xf numFmtId="166" fontId="0" fillId="11" borderId="0" xfId="28" applyNumberFormat="1" applyFont="1" applyFill="1" applyAlignment="1" applyProtection="1">
      <alignment horizontal="center"/>
      <protection locked="0"/>
    </xf>
    <xf numFmtId="166" fontId="0" fillId="11" borderId="0" xfId="27" applyNumberFormat="1" applyFill="1" applyAlignment="1" applyProtection="1">
      <alignment horizontal="center"/>
      <protection locked="0"/>
    </xf>
    <xf numFmtId="166" fontId="0" fillId="12" borderId="0" xfId="28" applyNumberFormat="1" applyFont="1" applyFill="1" applyAlignment="1" applyProtection="1">
      <alignment horizontal="center"/>
      <protection locked="0"/>
    </xf>
    <xf numFmtId="166" fontId="0" fillId="12" borderId="0" xfId="27" applyNumberFormat="1" applyFill="1" applyAlignment="1" applyProtection="1">
      <alignment horizontal="center"/>
      <protection locked="0"/>
    </xf>
    <xf numFmtId="0" fontId="3" fillId="0" borderId="0" xfId="28" applyFont="1" applyFill="1" applyAlignment="1" applyProtection="1">
      <alignment horizontal="center"/>
      <protection/>
    </xf>
    <xf numFmtId="0" fontId="3" fillId="0" borderId="0" xfId="28" applyFont="1" applyFill="1" applyAlignment="1">
      <alignment horizontal="center"/>
    </xf>
    <xf numFmtId="1" fontId="0" fillId="0" borderId="0" xfId="28" applyNumberFormat="1" applyFont="1" applyFill="1" applyAlignment="1" applyProtection="1">
      <alignment horizontal="center"/>
      <protection/>
    </xf>
    <xf numFmtId="1" fontId="0" fillId="0" borderId="0" xfId="28" applyNumberFormat="1" applyFont="1" applyFill="1" applyAlignment="1" applyProtection="1">
      <alignment horizontal="center"/>
      <protection/>
    </xf>
    <xf numFmtId="1" fontId="3" fillId="0" borderId="0" xfId="28" applyNumberFormat="1" applyFont="1" applyFill="1" applyAlignment="1" applyProtection="1">
      <alignment horizontal="center"/>
      <protection/>
    </xf>
    <xf numFmtId="165" fontId="0" fillId="0" borderId="0" xfId="28" applyNumberFormat="1" applyFont="1" applyFill="1" applyAlignment="1" applyProtection="1">
      <alignment horizontal="center"/>
      <protection/>
    </xf>
    <xf numFmtId="166" fontId="0" fillId="0" borderId="0" xfId="28" applyNumberFormat="1" applyFont="1" applyFill="1" applyAlignment="1" applyProtection="1">
      <alignment horizontal="center"/>
      <protection/>
    </xf>
    <xf numFmtId="0" fontId="0" fillId="0" borderId="0" xfId="27" applyFill="1" applyAlignment="1" applyProtection="1">
      <alignment horizontal="center"/>
      <protection/>
    </xf>
    <xf numFmtId="171" fontId="0" fillId="2" borderId="0" xfId="27" applyNumberFormat="1" applyFill="1" applyAlignment="1" applyProtection="1">
      <alignment horizontal="center"/>
      <protection locked="0"/>
    </xf>
    <xf numFmtId="165" fontId="0" fillId="2" borderId="0" xfId="27" applyNumberFormat="1" applyFill="1" applyAlignment="1" applyProtection="1">
      <alignment horizontal="center"/>
      <protection locked="0"/>
    </xf>
    <xf numFmtId="164" fontId="0" fillId="2" borderId="0" xfId="27" applyNumberFormat="1" applyFill="1" applyAlignment="1" applyProtection="1">
      <alignment horizontal="center"/>
      <protection locked="0"/>
    </xf>
    <xf numFmtId="171" fontId="0" fillId="0" borderId="0" xfId="28" applyNumberFormat="1" applyFont="1" applyFill="1" applyAlignment="1">
      <alignment horizontal="center"/>
    </xf>
    <xf numFmtId="10" fontId="0" fillId="0" borderId="0" xfId="27" applyNumberFormat="1" applyFill="1" applyAlignment="1" applyProtection="1">
      <alignment horizontal="center"/>
      <protection/>
    </xf>
    <xf numFmtId="173" fontId="0" fillId="0" borderId="0" xfId="27" applyNumberFormat="1" applyFill="1" applyAlignment="1" applyProtection="1">
      <alignment horizontal="center"/>
      <protection/>
    </xf>
    <xf numFmtId="173" fontId="0" fillId="0" borderId="0" xfId="28" applyNumberFormat="1" applyFont="1" applyFill="1" applyAlignment="1">
      <alignment horizontal="center"/>
    </xf>
    <xf numFmtId="0" fontId="3" fillId="13" borderId="0" xfId="28" applyFont="1" applyFill="1" applyAlignment="1">
      <alignment horizontal="center"/>
    </xf>
    <xf numFmtId="0" fontId="3" fillId="14" borderId="0" xfId="27" applyFont="1" applyFill="1" applyAlignment="1">
      <alignment horizontal="center"/>
      <protection/>
    </xf>
    <xf numFmtId="0" fontId="3" fillId="14" borderId="0" xfId="28" applyFont="1" applyFill="1" applyAlignment="1">
      <alignment horizontal="center"/>
    </xf>
    <xf numFmtId="0" fontId="3" fillId="14" borderId="0" xfId="28" applyFont="1" applyFill="1" applyAlignment="1">
      <alignment horizontal="center"/>
    </xf>
    <xf numFmtId="0" fontId="3" fillId="2" borderId="0" xfId="28" applyFont="1" applyFill="1" applyAlignment="1" applyProtection="1">
      <alignment horizontal="center"/>
      <protection locked="0"/>
    </xf>
    <xf numFmtId="0" fontId="3" fillId="0" borderId="0" xfId="27" applyFont="1" applyAlignment="1">
      <alignment horizontal="center"/>
      <protection/>
    </xf>
    <xf numFmtId="0" fontId="0" fillId="0" borderId="0" xfId="0" applyAlignment="1">
      <alignment/>
    </xf>
  </cellXfs>
  <cellStyles count="18">
    <cellStyle name="Normal" xfId="0"/>
    <cellStyle name="Comma" xfId="15"/>
    <cellStyle name="Comma [0]" xfId="16"/>
    <cellStyle name="Comma_studs" xfId="17"/>
    <cellStyle name="Comma0" xfId="18"/>
    <cellStyle name="Currency" xfId="19"/>
    <cellStyle name="Currency [0]" xfId="20"/>
    <cellStyle name="Currency_studs" xfId="21"/>
    <cellStyle name="Currency0" xfId="22"/>
    <cellStyle name="Date" xfId="23"/>
    <cellStyle name="Fixed" xfId="24"/>
    <cellStyle name="Heading 1" xfId="25"/>
    <cellStyle name="Heading 2" xfId="26"/>
    <cellStyle name="Normal_studs" xfId="27"/>
    <cellStyle name="normal_studs_1" xfId="28"/>
    <cellStyle name="Percent" xfId="29"/>
    <cellStyle name="Percent_studs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393"/>
  <sheetViews>
    <sheetView tabSelected="1" showOutlineSymbols="0" workbookViewId="0" topLeftCell="A1">
      <selection activeCell="A1" sqref="A1"/>
    </sheetView>
  </sheetViews>
  <sheetFormatPr defaultColWidth="9.140625" defaultRowHeight="12.75"/>
  <cols>
    <col min="1" max="1" width="54.7109375" style="1" bestFit="1" customWidth="1"/>
    <col min="2" max="2" width="11.7109375" style="1" customWidth="1"/>
    <col min="3" max="3" width="11.28125" style="1" customWidth="1"/>
    <col min="4" max="4" width="12.00390625" style="1" bestFit="1" customWidth="1"/>
    <col min="5" max="6" width="12.00390625" style="1" customWidth="1"/>
    <col min="7" max="7" width="11.421875" style="53" customWidth="1"/>
    <col min="8" max="8" width="10.7109375" style="53" customWidth="1"/>
    <col min="9" max="9" width="10.8515625" style="53" customWidth="1"/>
    <col min="10" max="10" width="9.140625" style="53" customWidth="1"/>
    <col min="11" max="11" width="12.00390625" style="53" customWidth="1"/>
    <col min="12" max="15" width="12.00390625" style="6" customWidth="1"/>
    <col min="16" max="16" width="10.7109375" style="6" customWidth="1"/>
    <col min="17" max="20" width="10.7109375" style="53" customWidth="1"/>
    <col min="21" max="21" width="9.140625" style="53" customWidth="1"/>
    <col min="22" max="23" width="13.140625" style="6" customWidth="1"/>
    <col min="24" max="25" width="10.7109375" style="1" customWidth="1"/>
    <col min="26" max="16384" width="9.140625" style="1" customWidth="1"/>
  </cols>
  <sheetData>
    <row r="1" spans="1:23" ht="12.75">
      <c r="A1" s="1" t="s">
        <v>0</v>
      </c>
      <c r="B1" s="2" t="s">
        <v>1</v>
      </c>
      <c r="C1" s="3"/>
      <c r="D1" s="4"/>
      <c r="F1" s="5"/>
      <c r="G1" s="67" t="s">
        <v>200</v>
      </c>
      <c r="H1" s="68" t="s">
        <v>200</v>
      </c>
      <c r="I1" s="68" t="s">
        <v>200</v>
      </c>
      <c r="J1" s="67" t="s">
        <v>200</v>
      </c>
      <c r="K1" s="67" t="s">
        <v>200</v>
      </c>
      <c r="L1" s="67" t="s">
        <v>200</v>
      </c>
      <c r="M1" s="67" t="s">
        <v>200</v>
      </c>
      <c r="N1" s="67" t="s">
        <v>200</v>
      </c>
      <c r="O1" s="67" t="s">
        <v>200</v>
      </c>
      <c r="P1" s="67" t="s">
        <v>200</v>
      </c>
      <c r="Q1" s="68" t="s">
        <v>200</v>
      </c>
      <c r="R1" s="68" t="s">
        <v>200</v>
      </c>
      <c r="S1" s="68" t="s">
        <v>200</v>
      </c>
      <c r="T1" s="68" t="s">
        <v>200</v>
      </c>
      <c r="U1" s="68" t="s">
        <v>200</v>
      </c>
      <c r="V1" s="67" t="s">
        <v>200</v>
      </c>
      <c r="W1" s="67" t="s">
        <v>200</v>
      </c>
    </row>
    <row r="2" spans="1:23" ht="12.75">
      <c r="A2" s="1" t="s">
        <v>2</v>
      </c>
      <c r="B2" s="2" t="s">
        <v>3</v>
      </c>
      <c r="C2" s="3"/>
      <c r="D2" s="4"/>
      <c r="F2" s="5"/>
      <c r="G2" s="67" t="s">
        <v>201</v>
      </c>
      <c r="H2" s="68" t="s">
        <v>202</v>
      </c>
      <c r="I2" s="68" t="s">
        <v>203</v>
      </c>
      <c r="J2" s="67" t="s">
        <v>204</v>
      </c>
      <c r="K2" s="67" t="s">
        <v>205</v>
      </c>
      <c r="L2" s="67" t="s">
        <v>206</v>
      </c>
      <c r="M2" s="67" t="s">
        <v>207</v>
      </c>
      <c r="N2" s="67" t="s">
        <v>208</v>
      </c>
      <c r="O2" s="67" t="s">
        <v>209</v>
      </c>
      <c r="P2" s="67" t="s">
        <v>210</v>
      </c>
      <c r="Q2" s="68" t="s">
        <v>211</v>
      </c>
      <c r="R2" s="68" t="s">
        <v>212</v>
      </c>
      <c r="S2" s="68" t="s">
        <v>213</v>
      </c>
      <c r="T2" s="68" t="s">
        <v>214</v>
      </c>
      <c r="U2" s="68" t="s">
        <v>215</v>
      </c>
      <c r="V2" s="67" t="s">
        <v>216</v>
      </c>
      <c r="W2" s="67" t="s">
        <v>217</v>
      </c>
    </row>
    <row r="3" spans="1:23" ht="12.75">
      <c r="A3" s="1" t="s">
        <v>4</v>
      </c>
      <c r="B3" s="2" t="s">
        <v>5</v>
      </c>
      <c r="C3" s="3"/>
      <c r="D3" s="4"/>
      <c r="F3" s="5"/>
      <c r="G3" s="93">
        <v>0.6</v>
      </c>
      <c r="H3" s="94">
        <v>1</v>
      </c>
      <c r="I3" s="94">
        <v>0.998</v>
      </c>
      <c r="J3" s="93">
        <v>0.946</v>
      </c>
      <c r="K3" s="93">
        <v>0.84</v>
      </c>
      <c r="L3" s="93">
        <v>0.82</v>
      </c>
      <c r="M3" s="93">
        <v>0.78</v>
      </c>
      <c r="N3" s="93">
        <v>0.76</v>
      </c>
      <c r="O3" s="93">
        <v>0.74</v>
      </c>
      <c r="P3" s="93">
        <v>0.72</v>
      </c>
      <c r="Q3" s="94">
        <v>0.71</v>
      </c>
      <c r="R3" s="94">
        <v>0.69</v>
      </c>
      <c r="S3" s="94">
        <v>0.67</v>
      </c>
      <c r="T3" s="94">
        <v>0.66</v>
      </c>
      <c r="U3" s="94">
        <v>0.64</v>
      </c>
      <c r="V3" s="93">
        <v>0.62</v>
      </c>
      <c r="W3" s="93">
        <v>0.6</v>
      </c>
    </row>
    <row r="4" spans="1:23" ht="12.75">
      <c r="A4" s="1" t="s">
        <v>6</v>
      </c>
      <c r="B4" s="2" t="s">
        <v>7</v>
      </c>
      <c r="C4" s="3"/>
      <c r="D4" s="4"/>
      <c r="F4" s="5"/>
      <c r="G4" s="95">
        <v>0.65</v>
      </c>
      <c r="H4" s="94">
        <v>1</v>
      </c>
      <c r="I4" s="94">
        <v>0.998</v>
      </c>
      <c r="J4" s="93">
        <v>0.956</v>
      </c>
      <c r="K4" s="93">
        <v>0.86</v>
      </c>
      <c r="L4" s="93">
        <v>0.84</v>
      </c>
      <c r="M4" s="93">
        <v>0.8</v>
      </c>
      <c r="N4" s="93">
        <v>0.78</v>
      </c>
      <c r="O4" s="93">
        <v>0.76</v>
      </c>
      <c r="P4" s="93">
        <v>0.74</v>
      </c>
      <c r="Q4" s="94">
        <v>0.72</v>
      </c>
      <c r="R4" s="94">
        <v>0.7</v>
      </c>
      <c r="S4" s="94">
        <v>0.69</v>
      </c>
      <c r="T4" s="94">
        <v>0.68</v>
      </c>
      <c r="U4" s="94">
        <v>0.67</v>
      </c>
      <c r="V4" s="93">
        <v>0.66</v>
      </c>
      <c r="W4" s="93">
        <v>0.65</v>
      </c>
    </row>
    <row r="5" spans="1:23" ht="12.75">
      <c r="A5" s="1" t="s">
        <v>8</v>
      </c>
      <c r="B5" s="2" t="s">
        <v>9</v>
      </c>
      <c r="C5" s="3"/>
      <c r="D5" s="7"/>
      <c r="F5" s="5"/>
      <c r="G5" s="95">
        <v>0.7</v>
      </c>
      <c r="H5" s="94">
        <v>1</v>
      </c>
      <c r="I5" s="94">
        <v>0.991</v>
      </c>
      <c r="J5" s="93">
        <v>0.915</v>
      </c>
      <c r="K5" s="93">
        <v>0.821</v>
      </c>
      <c r="L5" s="93">
        <v>0.779</v>
      </c>
      <c r="M5" s="93">
        <v>0.764</v>
      </c>
      <c r="N5" s="93">
        <v>0.748</v>
      </c>
      <c r="O5" s="93">
        <v>0.748</v>
      </c>
      <c r="P5" s="93">
        <v>0.748</v>
      </c>
      <c r="Q5" s="94">
        <v>0.744</v>
      </c>
      <c r="R5" s="94">
        <v>0.738</v>
      </c>
      <c r="S5" s="94">
        <v>0.738</v>
      </c>
      <c r="T5" s="94">
        <v>0.738</v>
      </c>
      <c r="U5" s="94">
        <v>0.722</v>
      </c>
      <c r="V5" s="93">
        <v>0.71</v>
      </c>
      <c r="W5" s="93">
        <v>0.7</v>
      </c>
    </row>
    <row r="6" spans="1:23" ht="12.75">
      <c r="A6" s="46"/>
      <c r="B6" s="46"/>
      <c r="C6" s="46"/>
      <c r="D6" s="75"/>
      <c r="E6" s="43"/>
      <c r="F6" s="43"/>
      <c r="G6" s="95">
        <v>0.75</v>
      </c>
      <c r="H6" s="94">
        <v>1</v>
      </c>
      <c r="I6" s="94">
        <v>0.998</v>
      </c>
      <c r="J6" s="93">
        <v>0.9</v>
      </c>
      <c r="K6" s="93">
        <v>0.88</v>
      </c>
      <c r="L6" s="93">
        <v>0.86</v>
      </c>
      <c r="M6" s="93">
        <v>0.85</v>
      </c>
      <c r="N6" s="93">
        <v>0.84</v>
      </c>
      <c r="O6" s="93">
        <v>0.83</v>
      </c>
      <c r="P6" s="93">
        <v>0.82</v>
      </c>
      <c r="Q6" s="94">
        <v>0.81</v>
      </c>
      <c r="R6" s="94">
        <v>0.8</v>
      </c>
      <c r="S6" s="94">
        <v>0.79</v>
      </c>
      <c r="T6" s="94">
        <v>0.78</v>
      </c>
      <c r="U6" s="94">
        <v>0.77</v>
      </c>
      <c r="V6" s="93">
        <v>0.76</v>
      </c>
      <c r="W6" s="93">
        <v>0.75</v>
      </c>
    </row>
    <row r="7" spans="2:23" ht="12.75">
      <c r="B7" s="116" t="s">
        <v>117</v>
      </c>
      <c r="C7" s="116" t="s">
        <v>117</v>
      </c>
      <c r="D7" s="116" t="s">
        <v>117</v>
      </c>
      <c r="E7" s="116" t="s">
        <v>117</v>
      </c>
      <c r="G7" s="96">
        <v>0.83</v>
      </c>
      <c r="H7" s="93">
        <v>1</v>
      </c>
      <c r="I7" s="93">
        <v>1</v>
      </c>
      <c r="J7" s="93">
        <v>0.985</v>
      </c>
      <c r="K7" s="93">
        <v>0.97</v>
      </c>
      <c r="L7" s="93">
        <v>0.925</v>
      </c>
      <c r="M7" s="93">
        <v>0.925</v>
      </c>
      <c r="N7" s="93">
        <v>0.91</v>
      </c>
      <c r="O7" s="94">
        <v>0.91</v>
      </c>
      <c r="P7" s="94">
        <v>0.895</v>
      </c>
      <c r="Q7" s="94">
        <v>0.895</v>
      </c>
      <c r="R7" s="94">
        <v>0.89</v>
      </c>
      <c r="S7" s="94">
        <v>0.88</v>
      </c>
      <c r="T7" s="93">
        <v>0.87</v>
      </c>
      <c r="U7" s="93">
        <v>0.85</v>
      </c>
      <c r="V7" s="94">
        <v>0.84</v>
      </c>
      <c r="W7" s="94">
        <v>0.83</v>
      </c>
    </row>
    <row r="8" spans="1:23" ht="12.75">
      <c r="A8" s="12" t="s">
        <v>10</v>
      </c>
      <c r="B8" s="116" t="s">
        <v>312</v>
      </c>
      <c r="C8" s="116" t="s">
        <v>313</v>
      </c>
      <c r="D8" s="116" t="s">
        <v>314</v>
      </c>
      <c r="E8" s="116" t="s">
        <v>315</v>
      </c>
      <c r="G8" s="94">
        <v>0.847</v>
      </c>
      <c r="H8" s="93">
        <v>1</v>
      </c>
      <c r="I8" s="93">
        <v>0.998</v>
      </c>
      <c r="J8" s="93">
        <v>0.98</v>
      </c>
      <c r="K8" s="93">
        <v>0.87</v>
      </c>
      <c r="L8" s="93">
        <v>0.86</v>
      </c>
      <c r="M8" s="93">
        <v>0.86</v>
      </c>
      <c r="N8" s="93">
        <v>0.86</v>
      </c>
      <c r="O8" s="94">
        <v>0.86</v>
      </c>
      <c r="P8" s="94">
        <v>0.86</v>
      </c>
      <c r="Q8" s="94">
        <v>0.85</v>
      </c>
      <c r="R8" s="94">
        <v>0.85</v>
      </c>
      <c r="S8" s="94">
        <v>0.85</v>
      </c>
      <c r="T8" s="93">
        <v>0.85</v>
      </c>
      <c r="U8" s="93">
        <v>0.85</v>
      </c>
      <c r="V8" s="94">
        <v>0.85</v>
      </c>
      <c r="W8" s="94">
        <v>0.847</v>
      </c>
    </row>
    <row r="9" spans="1:23" ht="12.75">
      <c r="A9" s="9"/>
      <c r="B9" s="9"/>
      <c r="C9" s="9"/>
      <c r="D9" s="9"/>
      <c r="E9" s="9"/>
      <c r="G9" s="94">
        <v>0.9</v>
      </c>
      <c r="H9" s="93">
        <v>1</v>
      </c>
      <c r="I9" s="93">
        <v>1</v>
      </c>
      <c r="J9" s="93">
        <v>0.98</v>
      </c>
      <c r="K9" s="93">
        <v>0.97</v>
      </c>
      <c r="L9" s="93">
        <v>0.96</v>
      </c>
      <c r="M9" s="93">
        <v>0.95</v>
      </c>
      <c r="N9" s="93">
        <v>0.94</v>
      </c>
      <c r="O9" s="94">
        <v>0.93</v>
      </c>
      <c r="P9" s="94">
        <v>0.92</v>
      </c>
      <c r="Q9" s="94">
        <v>0.91</v>
      </c>
      <c r="R9" s="94">
        <v>0.9</v>
      </c>
      <c r="S9" s="94">
        <v>0.9</v>
      </c>
      <c r="T9" s="93">
        <v>0.9</v>
      </c>
      <c r="U9" s="93">
        <v>0.9</v>
      </c>
      <c r="V9" s="94">
        <v>0.9</v>
      </c>
      <c r="W9" s="94">
        <v>0.9</v>
      </c>
    </row>
    <row r="10" spans="1:23" ht="12.75">
      <c r="A10" s="47" t="s">
        <v>124</v>
      </c>
      <c r="B10" s="84">
        <v>365</v>
      </c>
      <c r="C10" s="84">
        <v>365</v>
      </c>
      <c r="D10" s="84">
        <v>365</v>
      </c>
      <c r="E10" s="84">
        <v>365</v>
      </c>
      <c r="H10" s="6"/>
      <c r="I10" s="6"/>
      <c r="J10" s="6"/>
      <c r="K10" s="6"/>
      <c r="O10" s="53"/>
      <c r="P10" s="53"/>
      <c r="T10" s="6"/>
      <c r="U10" s="6"/>
      <c r="V10" s="53"/>
      <c r="W10" s="53"/>
    </row>
    <row r="11" spans="1:23" ht="12.75">
      <c r="A11" s="112" t="s">
        <v>118</v>
      </c>
      <c r="B11" s="43"/>
      <c r="C11" s="43"/>
      <c r="D11" s="43"/>
      <c r="E11" s="43"/>
      <c r="G11" s="53" t="s">
        <v>218</v>
      </c>
      <c r="H11" s="6" t="s">
        <v>218</v>
      </c>
      <c r="I11" s="6" t="s">
        <v>218</v>
      </c>
      <c r="J11" s="6" t="s">
        <v>218</v>
      </c>
      <c r="K11" s="6" t="s">
        <v>218</v>
      </c>
      <c r="L11" s="6" t="s">
        <v>218</v>
      </c>
      <c r="M11" s="6" t="s">
        <v>218</v>
      </c>
      <c r="N11" s="6" t="s">
        <v>218</v>
      </c>
      <c r="O11" s="53" t="s">
        <v>218</v>
      </c>
      <c r="P11" s="53" t="s">
        <v>218</v>
      </c>
      <c r="Q11" s="53" t="s">
        <v>218</v>
      </c>
      <c r="R11" s="53" t="s">
        <v>218</v>
      </c>
      <c r="S11" s="53" t="s">
        <v>218</v>
      </c>
      <c r="T11" s="6" t="s">
        <v>218</v>
      </c>
      <c r="U11" s="6" t="s">
        <v>218</v>
      </c>
      <c r="V11" s="53" t="s">
        <v>218</v>
      </c>
      <c r="W11" s="53" t="s">
        <v>218</v>
      </c>
    </row>
    <row r="12" spans="1:23" ht="12.75">
      <c r="A12" s="46" t="s">
        <v>143</v>
      </c>
      <c r="B12" s="43"/>
      <c r="C12" s="43"/>
      <c r="D12" s="43"/>
      <c r="E12" s="43"/>
      <c r="G12" s="53" t="s">
        <v>201</v>
      </c>
      <c r="H12" s="6" t="s">
        <v>202</v>
      </c>
      <c r="I12" s="6" t="s">
        <v>203</v>
      </c>
      <c r="J12" s="6" t="s">
        <v>204</v>
      </c>
      <c r="K12" s="6" t="s">
        <v>205</v>
      </c>
      <c r="L12" s="6" t="s">
        <v>206</v>
      </c>
      <c r="M12" s="6" t="s">
        <v>207</v>
      </c>
      <c r="N12" s="6" t="s">
        <v>208</v>
      </c>
      <c r="O12" s="53" t="s">
        <v>209</v>
      </c>
      <c r="P12" s="53" t="s">
        <v>210</v>
      </c>
      <c r="Q12" s="53" t="s">
        <v>211</v>
      </c>
      <c r="R12" s="53" t="s">
        <v>212</v>
      </c>
      <c r="S12" s="53" t="s">
        <v>213</v>
      </c>
      <c r="T12" s="6" t="s">
        <v>214</v>
      </c>
      <c r="U12" s="6" t="s">
        <v>215</v>
      </c>
      <c r="V12" s="53" t="s">
        <v>216</v>
      </c>
      <c r="W12" s="53" t="s">
        <v>217</v>
      </c>
    </row>
    <row r="13" spans="1:23" ht="12.75">
      <c r="A13" s="46" t="s">
        <v>119</v>
      </c>
      <c r="B13" s="84">
        <v>10.5</v>
      </c>
      <c r="C13" s="84">
        <v>10</v>
      </c>
      <c r="D13" s="84">
        <v>10</v>
      </c>
      <c r="E13" s="84">
        <v>10.5</v>
      </c>
      <c r="G13" s="94">
        <v>0.6</v>
      </c>
      <c r="H13" s="93">
        <v>1</v>
      </c>
      <c r="I13" s="93">
        <v>0.998</v>
      </c>
      <c r="J13" s="93">
        <v>0.946</v>
      </c>
      <c r="K13" s="93">
        <v>0.84</v>
      </c>
      <c r="L13" s="93">
        <v>0.82</v>
      </c>
      <c r="M13" s="93">
        <v>0.78</v>
      </c>
      <c r="N13" s="93">
        <v>0.76</v>
      </c>
      <c r="O13" s="94">
        <v>0.74</v>
      </c>
      <c r="P13" s="94">
        <v>0.72</v>
      </c>
      <c r="Q13" s="94">
        <v>0.71</v>
      </c>
      <c r="R13" s="94">
        <v>0.69</v>
      </c>
      <c r="S13" s="94">
        <v>0.67</v>
      </c>
      <c r="T13" s="93">
        <v>0.66</v>
      </c>
      <c r="U13" s="93">
        <v>0.64</v>
      </c>
      <c r="V13" s="94">
        <v>0.62</v>
      </c>
      <c r="W13" s="94">
        <v>0.6</v>
      </c>
    </row>
    <row r="14" spans="1:23" ht="12.75">
      <c r="A14" s="46" t="s">
        <v>120</v>
      </c>
      <c r="B14" s="84">
        <v>8.5</v>
      </c>
      <c r="C14" s="84">
        <v>8.5</v>
      </c>
      <c r="D14" s="84">
        <v>8.5</v>
      </c>
      <c r="E14" s="84">
        <v>8.5</v>
      </c>
      <c r="G14" s="94">
        <v>0.65</v>
      </c>
      <c r="H14" s="93">
        <v>1</v>
      </c>
      <c r="I14" s="93">
        <v>0.998</v>
      </c>
      <c r="J14" s="93">
        <v>0.956</v>
      </c>
      <c r="K14" s="93">
        <v>0.86</v>
      </c>
      <c r="L14" s="93">
        <v>0.84</v>
      </c>
      <c r="M14" s="93">
        <v>0.8</v>
      </c>
      <c r="N14" s="93">
        <v>0.78</v>
      </c>
      <c r="O14" s="94">
        <v>0.76</v>
      </c>
      <c r="P14" s="94">
        <v>0.74</v>
      </c>
      <c r="Q14" s="94">
        <v>0.72</v>
      </c>
      <c r="R14" s="94">
        <v>0.7</v>
      </c>
      <c r="S14" s="94">
        <v>0.69</v>
      </c>
      <c r="T14" s="93">
        <v>0.68</v>
      </c>
      <c r="U14" s="93">
        <v>0.67</v>
      </c>
      <c r="V14" s="94">
        <v>0.66</v>
      </c>
      <c r="W14" s="94">
        <v>0.65</v>
      </c>
    </row>
    <row r="15" spans="1:23" ht="12.75">
      <c r="A15" s="46" t="s">
        <v>121</v>
      </c>
      <c r="B15" s="85">
        <v>0.1</v>
      </c>
      <c r="C15" s="85">
        <v>0.1</v>
      </c>
      <c r="D15" s="85">
        <v>0.1</v>
      </c>
      <c r="E15" s="85">
        <v>0.1</v>
      </c>
      <c r="G15" s="94">
        <v>0.7</v>
      </c>
      <c r="H15" s="93">
        <v>1</v>
      </c>
      <c r="I15" s="93">
        <v>0.998</v>
      </c>
      <c r="J15" s="93">
        <v>0.946</v>
      </c>
      <c r="K15" s="93">
        <v>0.85</v>
      </c>
      <c r="L15" s="93">
        <v>0.811</v>
      </c>
      <c r="M15" s="93">
        <v>0.8</v>
      </c>
      <c r="N15" s="93">
        <v>0.79</v>
      </c>
      <c r="O15" s="94">
        <v>0.78</v>
      </c>
      <c r="P15" s="94">
        <v>0.77</v>
      </c>
      <c r="Q15" s="94">
        <v>0.76</v>
      </c>
      <c r="R15" s="94">
        <v>0.75</v>
      </c>
      <c r="S15" s="94">
        <v>0.74</v>
      </c>
      <c r="T15" s="93">
        <v>0.73</v>
      </c>
      <c r="U15" s="93">
        <v>0.72</v>
      </c>
      <c r="V15" s="94">
        <v>0.71</v>
      </c>
      <c r="W15" s="94">
        <v>0.7</v>
      </c>
    </row>
    <row r="16" spans="1:23" ht="12.75">
      <c r="A16" s="46" t="s">
        <v>157</v>
      </c>
      <c r="B16" s="85">
        <v>0.905</v>
      </c>
      <c r="C16" s="85">
        <v>0.905</v>
      </c>
      <c r="D16" s="85">
        <v>0.905</v>
      </c>
      <c r="E16" s="85">
        <v>0.905</v>
      </c>
      <c r="G16" s="94">
        <v>0.75</v>
      </c>
      <c r="H16" s="93">
        <v>1</v>
      </c>
      <c r="I16" s="93">
        <v>0.998</v>
      </c>
      <c r="J16" s="93">
        <v>0.9</v>
      </c>
      <c r="K16" s="93">
        <v>0.88</v>
      </c>
      <c r="L16" s="93">
        <v>0.86</v>
      </c>
      <c r="M16" s="93">
        <v>0.85</v>
      </c>
      <c r="N16" s="93">
        <v>0.84</v>
      </c>
      <c r="O16" s="94">
        <v>0.83</v>
      </c>
      <c r="P16" s="94">
        <v>0.82</v>
      </c>
      <c r="Q16" s="94">
        <v>0.81</v>
      </c>
      <c r="R16" s="94">
        <v>0.8</v>
      </c>
      <c r="S16" s="94">
        <v>0.79</v>
      </c>
      <c r="T16" s="93">
        <v>0.78</v>
      </c>
      <c r="U16" s="93">
        <v>0.77</v>
      </c>
      <c r="V16" s="94">
        <v>0.76</v>
      </c>
      <c r="W16" s="94">
        <v>0.75</v>
      </c>
    </row>
    <row r="17" spans="1:23" ht="12.75">
      <c r="A17" s="46" t="s">
        <v>122</v>
      </c>
      <c r="B17" s="84">
        <v>114</v>
      </c>
      <c r="C17" s="84">
        <v>114</v>
      </c>
      <c r="D17" s="84">
        <v>114</v>
      </c>
      <c r="E17" s="84">
        <v>114</v>
      </c>
      <c r="G17" s="94">
        <v>0.83</v>
      </c>
      <c r="H17" s="93">
        <v>1</v>
      </c>
      <c r="I17" s="93">
        <v>1</v>
      </c>
      <c r="J17" s="93">
        <v>0.985</v>
      </c>
      <c r="K17" s="93">
        <v>0.97</v>
      </c>
      <c r="L17" s="93">
        <v>0.925</v>
      </c>
      <c r="M17" s="93">
        <v>0.925</v>
      </c>
      <c r="N17" s="93">
        <v>0.91</v>
      </c>
      <c r="O17" s="94">
        <v>0.91</v>
      </c>
      <c r="P17" s="94">
        <v>0.895</v>
      </c>
      <c r="Q17" s="94">
        <v>0.895</v>
      </c>
      <c r="R17" s="94">
        <v>0.89</v>
      </c>
      <c r="S17" s="94">
        <v>0.88</v>
      </c>
      <c r="T17" s="93">
        <v>0.87</v>
      </c>
      <c r="U17" s="93">
        <v>0.85</v>
      </c>
      <c r="V17" s="94">
        <v>0.84</v>
      </c>
      <c r="W17" s="94">
        <v>0.83</v>
      </c>
    </row>
    <row r="18" spans="1:23" ht="12.75">
      <c r="A18" s="46" t="s">
        <v>123</v>
      </c>
      <c r="B18" s="84">
        <v>6</v>
      </c>
      <c r="C18" s="84">
        <v>6</v>
      </c>
      <c r="D18" s="84">
        <v>6</v>
      </c>
      <c r="E18" s="84">
        <v>6</v>
      </c>
      <c r="G18" s="94">
        <v>0.847</v>
      </c>
      <c r="H18" s="93">
        <v>1</v>
      </c>
      <c r="I18" s="93">
        <v>0.998</v>
      </c>
      <c r="J18" s="93">
        <v>0.98</v>
      </c>
      <c r="K18" s="93">
        <v>0.87</v>
      </c>
      <c r="L18" s="93">
        <v>0.86</v>
      </c>
      <c r="M18" s="93">
        <v>0.86</v>
      </c>
      <c r="N18" s="93">
        <v>0.86</v>
      </c>
      <c r="O18" s="94">
        <v>0.86</v>
      </c>
      <c r="P18" s="94">
        <v>0.86</v>
      </c>
      <c r="Q18" s="94">
        <v>0.85</v>
      </c>
      <c r="R18" s="94">
        <v>0.85</v>
      </c>
      <c r="S18" s="94">
        <v>0.85</v>
      </c>
      <c r="T18" s="93">
        <v>0.85</v>
      </c>
      <c r="U18" s="93">
        <v>0.85</v>
      </c>
      <c r="V18" s="94">
        <v>0.85</v>
      </c>
      <c r="W18" s="94">
        <v>0.847</v>
      </c>
    </row>
    <row r="19" spans="1:23" ht="12.75">
      <c r="A19" s="45" t="s">
        <v>199</v>
      </c>
      <c r="B19" s="85">
        <v>0.847</v>
      </c>
      <c r="C19" s="85">
        <v>0.75</v>
      </c>
      <c r="D19" s="85">
        <v>0.75</v>
      </c>
      <c r="E19" s="85">
        <v>0.847</v>
      </c>
      <c r="G19" s="94">
        <v>0.9</v>
      </c>
      <c r="H19" s="93">
        <v>1</v>
      </c>
      <c r="I19" s="93">
        <v>1</v>
      </c>
      <c r="J19" s="93">
        <v>0.98</v>
      </c>
      <c r="K19" s="93">
        <v>0.97</v>
      </c>
      <c r="L19" s="93">
        <v>0.96</v>
      </c>
      <c r="M19" s="93">
        <v>0.95</v>
      </c>
      <c r="N19" s="93">
        <v>0.94</v>
      </c>
      <c r="O19" s="94">
        <v>0.93</v>
      </c>
      <c r="P19" s="94">
        <v>0.92</v>
      </c>
      <c r="Q19" s="94">
        <v>0.91</v>
      </c>
      <c r="R19" s="94">
        <v>0.9</v>
      </c>
      <c r="S19" s="94">
        <v>0.9</v>
      </c>
      <c r="T19" s="93">
        <v>0.9</v>
      </c>
      <c r="U19" s="93">
        <v>0.9</v>
      </c>
      <c r="V19" s="94">
        <v>0.9</v>
      </c>
      <c r="W19" s="94">
        <v>0.9</v>
      </c>
    </row>
    <row r="20" spans="1:23" ht="12.75">
      <c r="A20" s="113" t="s">
        <v>125</v>
      </c>
      <c r="B20" s="48"/>
      <c r="C20" s="48"/>
      <c r="D20" s="48"/>
      <c r="E20" s="48"/>
      <c r="H20" s="6"/>
      <c r="I20" s="6"/>
      <c r="J20" s="6"/>
      <c r="K20" s="6"/>
      <c r="O20" s="53"/>
      <c r="P20" s="53"/>
      <c r="T20" s="6"/>
      <c r="U20" s="6"/>
      <c r="V20" s="53"/>
      <c r="W20" s="53"/>
    </row>
    <row r="21" spans="1:23" ht="12.75">
      <c r="A21" s="45" t="s">
        <v>126</v>
      </c>
      <c r="B21" s="86">
        <v>7</v>
      </c>
      <c r="C21" s="86">
        <v>7</v>
      </c>
      <c r="D21" s="86">
        <v>7</v>
      </c>
      <c r="E21" s="86">
        <v>7</v>
      </c>
      <c r="G21" s="53" t="s">
        <v>219</v>
      </c>
      <c r="H21" s="6" t="s">
        <v>219</v>
      </c>
      <c r="I21" s="6" t="s">
        <v>219</v>
      </c>
      <c r="J21" s="6" t="s">
        <v>219</v>
      </c>
      <c r="K21" s="6" t="s">
        <v>219</v>
      </c>
      <c r="L21" s="6" t="s">
        <v>219</v>
      </c>
      <c r="M21" s="6" t="s">
        <v>219</v>
      </c>
      <c r="N21" s="6" t="s">
        <v>219</v>
      </c>
      <c r="O21" s="53" t="s">
        <v>219</v>
      </c>
      <c r="P21" s="53" t="s">
        <v>219</v>
      </c>
      <c r="Q21" s="53" t="s">
        <v>219</v>
      </c>
      <c r="R21" s="53" t="s">
        <v>219</v>
      </c>
      <c r="S21" s="53" t="s">
        <v>219</v>
      </c>
      <c r="T21" s="6" t="s">
        <v>219</v>
      </c>
      <c r="U21" s="6" t="s">
        <v>219</v>
      </c>
      <c r="V21" s="53" t="s">
        <v>219</v>
      </c>
      <c r="W21" s="53" t="s">
        <v>219</v>
      </c>
    </row>
    <row r="22" spans="1:23" ht="12.75">
      <c r="A22" s="45" t="s">
        <v>127</v>
      </c>
      <c r="B22" s="86">
        <v>3</v>
      </c>
      <c r="C22" s="86">
        <v>3</v>
      </c>
      <c r="D22" s="86">
        <v>3</v>
      </c>
      <c r="E22" s="86">
        <v>3</v>
      </c>
      <c r="G22" s="53" t="s">
        <v>201</v>
      </c>
      <c r="H22" s="6" t="s">
        <v>202</v>
      </c>
      <c r="I22" s="6" t="s">
        <v>203</v>
      </c>
      <c r="J22" s="6" t="s">
        <v>204</v>
      </c>
      <c r="K22" s="6" t="s">
        <v>205</v>
      </c>
      <c r="L22" s="6" t="s">
        <v>206</v>
      </c>
      <c r="M22" s="6" t="s">
        <v>207</v>
      </c>
      <c r="N22" s="6" t="s">
        <v>208</v>
      </c>
      <c r="O22" s="53" t="s">
        <v>209</v>
      </c>
      <c r="P22" s="53" t="s">
        <v>210</v>
      </c>
      <c r="Q22" s="53" t="s">
        <v>211</v>
      </c>
      <c r="R22" s="53" t="s">
        <v>212</v>
      </c>
      <c r="S22" s="53" t="s">
        <v>213</v>
      </c>
      <c r="T22" s="6" t="s">
        <v>214</v>
      </c>
      <c r="U22" s="6" t="s">
        <v>215</v>
      </c>
      <c r="V22" s="53" t="s">
        <v>216</v>
      </c>
      <c r="W22" s="53" t="s">
        <v>217</v>
      </c>
    </row>
    <row r="23" spans="1:23" ht="12.75">
      <c r="A23" s="45" t="s">
        <v>128</v>
      </c>
      <c r="B23" s="86">
        <v>16</v>
      </c>
      <c r="C23" s="86">
        <v>16</v>
      </c>
      <c r="D23" s="86">
        <v>16</v>
      </c>
      <c r="E23" s="86">
        <v>16</v>
      </c>
      <c r="G23" s="94">
        <v>0.6</v>
      </c>
      <c r="H23" s="93">
        <v>1</v>
      </c>
      <c r="I23" s="93">
        <v>0.998</v>
      </c>
      <c r="J23" s="93">
        <v>0.946</v>
      </c>
      <c r="K23" s="93">
        <v>0.84</v>
      </c>
      <c r="L23" s="93">
        <v>0.82</v>
      </c>
      <c r="M23" s="93">
        <v>0.78</v>
      </c>
      <c r="N23" s="93">
        <v>0.76</v>
      </c>
      <c r="O23" s="94">
        <v>0.74</v>
      </c>
      <c r="P23" s="94">
        <v>0.72</v>
      </c>
      <c r="Q23" s="94">
        <v>0.71</v>
      </c>
      <c r="R23" s="94">
        <v>0.69</v>
      </c>
      <c r="S23" s="94">
        <v>0.67</v>
      </c>
      <c r="T23" s="93">
        <v>0.66</v>
      </c>
      <c r="U23" s="93">
        <v>0.64</v>
      </c>
      <c r="V23" s="94">
        <v>0.62</v>
      </c>
      <c r="W23" s="94">
        <v>0.6</v>
      </c>
    </row>
    <row r="24" spans="1:23" ht="12.75">
      <c r="A24" s="45" t="s">
        <v>129</v>
      </c>
      <c r="B24" s="87">
        <v>2</v>
      </c>
      <c r="C24" s="87">
        <v>2</v>
      </c>
      <c r="D24" s="87">
        <v>2</v>
      </c>
      <c r="E24" s="87">
        <v>2</v>
      </c>
      <c r="G24" s="94">
        <v>0.65</v>
      </c>
      <c r="H24" s="93">
        <v>1</v>
      </c>
      <c r="I24" s="93">
        <v>0.998</v>
      </c>
      <c r="J24" s="93">
        <v>0.956</v>
      </c>
      <c r="K24" s="93">
        <v>0.86</v>
      </c>
      <c r="L24" s="93">
        <v>0.84</v>
      </c>
      <c r="M24" s="93">
        <v>0.8</v>
      </c>
      <c r="N24" s="93">
        <v>0.78</v>
      </c>
      <c r="O24" s="94">
        <v>0.76</v>
      </c>
      <c r="P24" s="94">
        <v>0.74</v>
      </c>
      <c r="Q24" s="94">
        <v>0.72</v>
      </c>
      <c r="R24" s="94">
        <v>0.7</v>
      </c>
      <c r="S24" s="94">
        <v>0.69</v>
      </c>
      <c r="T24" s="93">
        <v>0.68</v>
      </c>
      <c r="U24" s="93">
        <v>0.67</v>
      </c>
      <c r="V24" s="94">
        <v>0.66</v>
      </c>
      <c r="W24" s="94">
        <v>0.65</v>
      </c>
    </row>
    <row r="25" spans="1:23" ht="12.75">
      <c r="A25" s="45" t="s">
        <v>130</v>
      </c>
      <c r="B25" s="86">
        <v>168</v>
      </c>
      <c r="C25" s="86">
        <v>168</v>
      </c>
      <c r="D25" s="86">
        <v>168</v>
      </c>
      <c r="E25" s="86">
        <v>168</v>
      </c>
      <c r="G25" s="94">
        <v>0.7</v>
      </c>
      <c r="H25" s="93">
        <v>1</v>
      </c>
      <c r="I25" s="93">
        <v>0.991</v>
      </c>
      <c r="J25" s="93">
        <v>0.915</v>
      </c>
      <c r="K25" s="93">
        <v>0.821</v>
      </c>
      <c r="L25" s="93">
        <v>0.779</v>
      </c>
      <c r="M25" s="93">
        <v>0.764</v>
      </c>
      <c r="N25" s="93">
        <v>0.748</v>
      </c>
      <c r="O25" s="94">
        <v>0.748</v>
      </c>
      <c r="P25" s="94">
        <v>0.748</v>
      </c>
      <c r="Q25" s="94">
        <v>0.744</v>
      </c>
      <c r="R25" s="94">
        <v>0.738</v>
      </c>
      <c r="S25" s="94">
        <v>0.738</v>
      </c>
      <c r="T25" s="93">
        <v>0.738</v>
      </c>
      <c r="U25" s="93">
        <v>0.722</v>
      </c>
      <c r="V25" s="94">
        <v>0.71</v>
      </c>
      <c r="W25" s="94">
        <v>0.706</v>
      </c>
    </row>
    <row r="26" spans="1:23" ht="12.75">
      <c r="A26" s="45" t="s">
        <v>131</v>
      </c>
      <c r="B26" s="86">
        <v>7</v>
      </c>
      <c r="C26" s="86">
        <v>7</v>
      </c>
      <c r="D26" s="86">
        <v>7</v>
      </c>
      <c r="E26" s="86">
        <v>7</v>
      </c>
      <c r="G26" s="94">
        <v>0.75</v>
      </c>
      <c r="H26" s="93">
        <v>1</v>
      </c>
      <c r="I26" s="93">
        <v>0.998</v>
      </c>
      <c r="J26" s="93">
        <v>0.9</v>
      </c>
      <c r="K26" s="93">
        <v>0.88</v>
      </c>
      <c r="L26" s="93">
        <v>0.86</v>
      </c>
      <c r="M26" s="93">
        <v>0.85</v>
      </c>
      <c r="N26" s="93">
        <v>0.84</v>
      </c>
      <c r="O26" s="94">
        <v>0.83</v>
      </c>
      <c r="P26" s="94">
        <v>0.82</v>
      </c>
      <c r="Q26" s="94">
        <v>0.81</v>
      </c>
      <c r="R26" s="94">
        <v>0.8</v>
      </c>
      <c r="S26" s="94">
        <v>0.79</v>
      </c>
      <c r="T26" s="93">
        <v>0.78</v>
      </c>
      <c r="U26" s="93">
        <v>0.77</v>
      </c>
      <c r="V26" s="94">
        <v>0.76</v>
      </c>
      <c r="W26" s="94">
        <v>0.75</v>
      </c>
    </row>
    <row r="27" spans="1:23" ht="12.75">
      <c r="A27" s="45" t="s">
        <v>285</v>
      </c>
      <c r="B27" s="100">
        <f>B25/((B25*365)/((365/B26)*(B22+B23+B24)))</f>
        <v>3</v>
      </c>
      <c r="C27" s="100">
        <f>C25/((C25*365)/((365/C26)*(C22+C23+C24)))</f>
        <v>3</v>
      </c>
      <c r="D27" s="100">
        <f>D25/((D25*365)/((365/D26)*(D22+D23+D24)))</f>
        <v>3</v>
      </c>
      <c r="E27" s="100">
        <f>E25/((E25*365)/((365/E26)*(E22+E23+E24)))</f>
        <v>3</v>
      </c>
      <c r="G27" s="94">
        <v>0.83</v>
      </c>
      <c r="H27" s="93">
        <v>1</v>
      </c>
      <c r="I27" s="93">
        <v>1</v>
      </c>
      <c r="J27" s="93">
        <v>0.985</v>
      </c>
      <c r="K27" s="93">
        <v>0.97</v>
      </c>
      <c r="L27" s="93">
        <v>0.925</v>
      </c>
      <c r="M27" s="93">
        <v>0.925</v>
      </c>
      <c r="N27" s="93">
        <v>0.91</v>
      </c>
      <c r="O27" s="94">
        <v>0.91</v>
      </c>
      <c r="P27" s="94">
        <v>0.895</v>
      </c>
      <c r="Q27" s="94">
        <v>0.895</v>
      </c>
      <c r="R27" s="94">
        <v>0.89</v>
      </c>
      <c r="S27" s="94">
        <v>0.88</v>
      </c>
      <c r="T27" s="93">
        <v>0.87</v>
      </c>
      <c r="U27" s="93">
        <v>0.85</v>
      </c>
      <c r="V27" s="94">
        <v>0.84</v>
      </c>
      <c r="W27" s="94">
        <v>0.83</v>
      </c>
    </row>
    <row r="28" spans="1:23" ht="12.75">
      <c r="A28" s="51" t="s">
        <v>132</v>
      </c>
      <c r="B28" s="88">
        <v>1</v>
      </c>
      <c r="C28" s="88">
        <v>1</v>
      </c>
      <c r="D28" s="88">
        <v>1</v>
      </c>
      <c r="E28" s="88">
        <v>1</v>
      </c>
      <c r="G28" s="94">
        <v>0.847</v>
      </c>
      <c r="H28" s="93">
        <v>1</v>
      </c>
      <c r="I28" s="93">
        <v>0.998</v>
      </c>
      <c r="J28" s="93">
        <v>0.98</v>
      </c>
      <c r="K28" s="93">
        <v>0.87</v>
      </c>
      <c r="L28" s="93">
        <v>0.86</v>
      </c>
      <c r="M28" s="93">
        <v>0.86</v>
      </c>
      <c r="N28" s="93">
        <v>0.86</v>
      </c>
      <c r="O28" s="94">
        <v>0.86</v>
      </c>
      <c r="P28" s="94">
        <v>0.86</v>
      </c>
      <c r="Q28" s="94">
        <v>0.85</v>
      </c>
      <c r="R28" s="94">
        <v>0.85</v>
      </c>
      <c r="S28" s="94">
        <v>0.85</v>
      </c>
      <c r="T28" s="93">
        <v>0.85</v>
      </c>
      <c r="U28" s="93">
        <v>0.85</v>
      </c>
      <c r="V28" s="94">
        <v>0.85</v>
      </c>
      <c r="W28" s="94">
        <v>0.847</v>
      </c>
    </row>
    <row r="29" spans="1:23" ht="12.75">
      <c r="A29" s="51" t="s">
        <v>133</v>
      </c>
      <c r="B29" s="88">
        <v>1</v>
      </c>
      <c r="C29" s="88">
        <v>1</v>
      </c>
      <c r="D29" s="88">
        <v>1</v>
      </c>
      <c r="E29" s="88">
        <v>1</v>
      </c>
      <c r="G29" s="94">
        <v>0.9</v>
      </c>
      <c r="H29" s="93">
        <v>1</v>
      </c>
      <c r="I29" s="93">
        <v>1</v>
      </c>
      <c r="J29" s="93">
        <v>0.98</v>
      </c>
      <c r="K29" s="93">
        <v>0.97</v>
      </c>
      <c r="L29" s="93">
        <v>0.96</v>
      </c>
      <c r="M29" s="93">
        <v>0.95</v>
      </c>
      <c r="N29" s="93">
        <v>0.94</v>
      </c>
      <c r="O29" s="94">
        <v>0.93</v>
      </c>
      <c r="P29" s="94">
        <v>0.92</v>
      </c>
      <c r="Q29" s="94">
        <v>0.91</v>
      </c>
      <c r="R29" s="94">
        <v>0.9</v>
      </c>
      <c r="S29" s="94">
        <v>0.9</v>
      </c>
      <c r="T29" s="93">
        <v>0.9</v>
      </c>
      <c r="U29" s="93">
        <v>0.9</v>
      </c>
      <c r="V29" s="94">
        <v>0.9</v>
      </c>
      <c r="W29" s="94">
        <v>0.9</v>
      </c>
    </row>
    <row r="30" spans="1:23" ht="12.75">
      <c r="A30" s="114" t="s">
        <v>134</v>
      </c>
      <c r="B30" s="49"/>
      <c r="C30" s="49"/>
      <c r="D30" s="49"/>
      <c r="E30" s="49"/>
      <c r="H30" s="6"/>
      <c r="I30" s="6"/>
      <c r="J30" s="6"/>
      <c r="K30" s="6"/>
      <c r="O30" s="53"/>
      <c r="P30" s="53"/>
      <c r="T30" s="6"/>
      <c r="U30" s="6"/>
      <c r="V30" s="53"/>
      <c r="W30" s="53"/>
    </row>
    <row r="31" spans="1:23" ht="12.75">
      <c r="A31" s="51" t="s">
        <v>135</v>
      </c>
      <c r="B31" s="49"/>
      <c r="C31" s="49"/>
      <c r="D31" s="49"/>
      <c r="E31" s="49"/>
      <c r="G31" s="53" t="s">
        <v>220</v>
      </c>
      <c r="H31" s="6" t="s">
        <v>220</v>
      </c>
      <c r="I31" s="6" t="s">
        <v>220</v>
      </c>
      <c r="J31" s="6" t="s">
        <v>220</v>
      </c>
      <c r="K31" s="6" t="s">
        <v>220</v>
      </c>
      <c r="L31" s="6" t="s">
        <v>220</v>
      </c>
      <c r="M31" s="6" t="s">
        <v>220</v>
      </c>
      <c r="N31" s="6" t="s">
        <v>220</v>
      </c>
      <c r="O31" s="53" t="s">
        <v>220</v>
      </c>
      <c r="P31" s="53" t="s">
        <v>220</v>
      </c>
      <c r="Q31" s="53" t="s">
        <v>220</v>
      </c>
      <c r="R31" s="53" t="s">
        <v>220</v>
      </c>
      <c r="S31" s="53" t="s">
        <v>220</v>
      </c>
      <c r="T31" s="6" t="s">
        <v>220</v>
      </c>
      <c r="U31" s="6" t="s">
        <v>220</v>
      </c>
      <c r="V31" s="53" t="s">
        <v>220</v>
      </c>
      <c r="W31" s="53" t="s">
        <v>220</v>
      </c>
    </row>
    <row r="32" spans="1:23" ht="12.75">
      <c r="A32" s="51" t="s">
        <v>136</v>
      </c>
      <c r="B32" s="90">
        <v>2</v>
      </c>
      <c r="C32" s="90">
        <v>0</v>
      </c>
      <c r="D32" s="90">
        <v>0</v>
      </c>
      <c r="E32" s="90">
        <v>0</v>
      </c>
      <c r="G32" s="53" t="s">
        <v>201</v>
      </c>
      <c r="H32" s="6" t="s">
        <v>202</v>
      </c>
      <c r="I32" s="6" t="s">
        <v>203</v>
      </c>
      <c r="J32" s="6" t="s">
        <v>204</v>
      </c>
      <c r="K32" s="6" t="s">
        <v>205</v>
      </c>
      <c r="L32" s="6" t="s">
        <v>206</v>
      </c>
      <c r="M32" s="6" t="s">
        <v>207</v>
      </c>
      <c r="N32" s="6" t="s">
        <v>208</v>
      </c>
      <c r="O32" s="53" t="s">
        <v>209</v>
      </c>
      <c r="P32" s="53" t="s">
        <v>210</v>
      </c>
      <c r="Q32" s="53" t="s">
        <v>211</v>
      </c>
      <c r="R32" s="53" t="s">
        <v>212</v>
      </c>
      <c r="S32" s="53" t="s">
        <v>213</v>
      </c>
      <c r="T32" s="6" t="s">
        <v>214</v>
      </c>
      <c r="U32" s="6" t="s">
        <v>215</v>
      </c>
      <c r="V32" s="53" t="s">
        <v>216</v>
      </c>
      <c r="W32" s="53" t="s">
        <v>217</v>
      </c>
    </row>
    <row r="33" spans="1:23" ht="12.75">
      <c r="A33" s="51" t="s">
        <v>306</v>
      </c>
      <c r="B33" s="90">
        <v>0</v>
      </c>
      <c r="C33" s="90">
        <v>2</v>
      </c>
      <c r="D33" s="90">
        <v>0</v>
      </c>
      <c r="E33" s="90">
        <v>0</v>
      </c>
      <c r="G33" s="94">
        <v>0.6</v>
      </c>
      <c r="H33" s="93">
        <v>1</v>
      </c>
      <c r="I33" s="93">
        <v>0.998</v>
      </c>
      <c r="J33" s="93">
        <v>0.946</v>
      </c>
      <c r="K33" s="93">
        <v>0.84</v>
      </c>
      <c r="L33" s="93">
        <v>0.82</v>
      </c>
      <c r="M33" s="93">
        <v>0.78</v>
      </c>
      <c r="N33" s="93">
        <v>0.76</v>
      </c>
      <c r="O33" s="94">
        <v>0.74</v>
      </c>
      <c r="P33" s="94">
        <v>0.72</v>
      </c>
      <c r="Q33" s="94">
        <v>0.71</v>
      </c>
      <c r="R33" s="94">
        <v>0.69</v>
      </c>
      <c r="S33" s="94">
        <v>0.67</v>
      </c>
      <c r="T33" s="93">
        <v>0.66</v>
      </c>
      <c r="U33" s="93">
        <v>0.64</v>
      </c>
      <c r="V33" s="94">
        <v>0.62</v>
      </c>
      <c r="W33" s="94">
        <v>0.6</v>
      </c>
    </row>
    <row r="34" spans="1:23" ht="12.75">
      <c r="A34" s="51" t="s">
        <v>307</v>
      </c>
      <c r="B34" s="90">
        <v>0</v>
      </c>
      <c r="C34" s="90">
        <v>0</v>
      </c>
      <c r="D34" s="90">
        <v>2</v>
      </c>
      <c r="E34" s="90">
        <v>0</v>
      </c>
      <c r="G34" s="94">
        <v>0.65</v>
      </c>
      <c r="H34" s="93">
        <v>1</v>
      </c>
      <c r="I34" s="93">
        <v>0.998</v>
      </c>
      <c r="J34" s="93">
        <v>0.956</v>
      </c>
      <c r="K34" s="93">
        <v>0.86</v>
      </c>
      <c r="L34" s="93">
        <v>0.84</v>
      </c>
      <c r="M34" s="93">
        <v>0.8</v>
      </c>
      <c r="N34" s="93">
        <v>0.78</v>
      </c>
      <c r="O34" s="94">
        <v>0.76</v>
      </c>
      <c r="P34" s="94">
        <v>0.74</v>
      </c>
      <c r="Q34" s="94">
        <v>0.72</v>
      </c>
      <c r="R34" s="94">
        <v>0.7</v>
      </c>
      <c r="S34" s="94">
        <v>0.69</v>
      </c>
      <c r="T34" s="93">
        <v>0.68</v>
      </c>
      <c r="U34" s="93">
        <v>0.67</v>
      </c>
      <c r="V34" s="94">
        <v>0.66</v>
      </c>
      <c r="W34" s="94">
        <v>0.65</v>
      </c>
    </row>
    <row r="35" spans="1:23" ht="12.75">
      <c r="A35" s="51" t="s">
        <v>308</v>
      </c>
      <c r="B35" s="90">
        <v>0</v>
      </c>
      <c r="C35" s="90">
        <v>0</v>
      </c>
      <c r="D35" s="90">
        <v>0</v>
      </c>
      <c r="E35" s="90">
        <v>2</v>
      </c>
      <c r="G35" s="94">
        <v>0.7</v>
      </c>
      <c r="H35" s="93">
        <v>1</v>
      </c>
      <c r="I35" s="93">
        <v>0.998</v>
      </c>
      <c r="J35" s="93">
        <v>0.946</v>
      </c>
      <c r="K35" s="93">
        <v>0.85</v>
      </c>
      <c r="L35" s="93">
        <v>0.811</v>
      </c>
      <c r="M35" s="93">
        <v>0.8</v>
      </c>
      <c r="N35" s="93">
        <v>0.79</v>
      </c>
      <c r="O35" s="94">
        <v>0.78</v>
      </c>
      <c r="P35" s="94">
        <v>0.77</v>
      </c>
      <c r="Q35" s="94">
        <v>0.76</v>
      </c>
      <c r="R35" s="94">
        <v>0.75</v>
      </c>
      <c r="S35" s="94">
        <v>0.74</v>
      </c>
      <c r="T35" s="93">
        <v>0.73</v>
      </c>
      <c r="U35" s="93">
        <v>0.72</v>
      </c>
      <c r="V35" s="94">
        <v>0.71</v>
      </c>
      <c r="W35" s="94">
        <v>0.7</v>
      </c>
    </row>
    <row r="36" spans="1:23" ht="12.75">
      <c r="A36" s="51" t="s">
        <v>316</v>
      </c>
      <c r="B36" s="89">
        <v>0</v>
      </c>
      <c r="C36" s="89">
        <v>0</v>
      </c>
      <c r="D36" s="89">
        <v>0</v>
      </c>
      <c r="E36" s="89">
        <v>6</v>
      </c>
      <c r="G36" s="94">
        <v>0.75</v>
      </c>
      <c r="H36" s="93">
        <v>1</v>
      </c>
      <c r="I36" s="93">
        <v>0.998</v>
      </c>
      <c r="J36" s="93">
        <v>0.9</v>
      </c>
      <c r="K36" s="93">
        <v>0.88</v>
      </c>
      <c r="L36" s="93">
        <v>0.86</v>
      </c>
      <c r="M36" s="93">
        <v>0.85</v>
      </c>
      <c r="N36" s="93">
        <v>0.84</v>
      </c>
      <c r="O36" s="94">
        <v>0.83</v>
      </c>
      <c r="P36" s="94">
        <v>0.82</v>
      </c>
      <c r="Q36" s="94">
        <v>0.81</v>
      </c>
      <c r="R36" s="94">
        <v>0.8</v>
      </c>
      <c r="S36" s="94">
        <v>0.79</v>
      </c>
      <c r="T36" s="93">
        <v>0.78</v>
      </c>
      <c r="U36" s="93">
        <v>0.77</v>
      </c>
      <c r="V36" s="94">
        <v>0.76</v>
      </c>
      <c r="W36" s="94">
        <v>0.75</v>
      </c>
    </row>
    <row r="37" spans="1:23" ht="12.75">
      <c r="A37" s="51" t="s">
        <v>324</v>
      </c>
      <c r="B37" s="89">
        <v>0</v>
      </c>
      <c r="C37" s="89">
        <v>1.8</v>
      </c>
      <c r="D37" s="89">
        <v>0</v>
      </c>
      <c r="E37" s="89">
        <v>0</v>
      </c>
      <c r="G37" s="94">
        <v>0.83</v>
      </c>
      <c r="H37" s="93">
        <v>1</v>
      </c>
      <c r="I37" s="93">
        <v>1</v>
      </c>
      <c r="J37" s="93">
        <v>0.985</v>
      </c>
      <c r="K37" s="93">
        <v>0.97</v>
      </c>
      <c r="L37" s="93">
        <v>0.925</v>
      </c>
      <c r="M37" s="93">
        <v>0.925</v>
      </c>
      <c r="N37" s="93">
        <v>0.91</v>
      </c>
      <c r="O37" s="94">
        <v>0.91</v>
      </c>
      <c r="P37" s="94">
        <v>0.895</v>
      </c>
      <c r="Q37" s="94">
        <v>0.895</v>
      </c>
      <c r="R37" s="94">
        <v>0.89</v>
      </c>
      <c r="S37" s="94">
        <v>0.88</v>
      </c>
      <c r="T37" s="93">
        <v>0.87</v>
      </c>
      <c r="U37" s="93">
        <v>0.85</v>
      </c>
      <c r="V37" s="94">
        <v>0.84</v>
      </c>
      <c r="W37" s="94">
        <v>0.83</v>
      </c>
    </row>
    <row r="38" spans="1:23" ht="12.75">
      <c r="A38" s="51" t="s">
        <v>317</v>
      </c>
      <c r="B38" s="89">
        <v>0</v>
      </c>
      <c r="C38" s="89">
        <v>0</v>
      </c>
      <c r="D38" s="89">
        <v>2.83</v>
      </c>
      <c r="E38" s="89">
        <v>0</v>
      </c>
      <c r="G38" s="94">
        <v>0.847</v>
      </c>
      <c r="H38" s="93">
        <v>1</v>
      </c>
      <c r="I38" s="93">
        <v>0.998</v>
      </c>
      <c r="J38" s="93">
        <v>0.98</v>
      </c>
      <c r="K38" s="93">
        <v>0.87</v>
      </c>
      <c r="L38" s="93">
        <v>0.86</v>
      </c>
      <c r="M38" s="93">
        <v>0.86</v>
      </c>
      <c r="N38" s="93">
        <v>0.86</v>
      </c>
      <c r="O38" s="94">
        <v>0.86</v>
      </c>
      <c r="P38" s="94">
        <v>0.86</v>
      </c>
      <c r="Q38" s="94">
        <v>0.85</v>
      </c>
      <c r="R38" s="94">
        <v>0.85</v>
      </c>
      <c r="S38" s="94">
        <v>0.85</v>
      </c>
      <c r="T38" s="93">
        <v>0.85</v>
      </c>
      <c r="U38" s="93">
        <v>0.85</v>
      </c>
      <c r="V38" s="94">
        <v>0.85</v>
      </c>
      <c r="W38" s="94">
        <v>0.847</v>
      </c>
    </row>
    <row r="39" spans="1:23" ht="12.75">
      <c r="A39" s="51" t="s">
        <v>137</v>
      </c>
      <c r="B39" s="90">
        <v>5</v>
      </c>
      <c r="C39" s="90">
        <v>0</v>
      </c>
      <c r="D39" s="90">
        <v>0</v>
      </c>
      <c r="E39" s="90">
        <v>0</v>
      </c>
      <c r="G39" s="94">
        <v>0.9</v>
      </c>
      <c r="H39" s="93">
        <v>1</v>
      </c>
      <c r="I39" s="93">
        <v>1</v>
      </c>
      <c r="J39" s="93">
        <v>0.98</v>
      </c>
      <c r="K39" s="93">
        <v>0.97</v>
      </c>
      <c r="L39" s="93">
        <v>0.96</v>
      </c>
      <c r="M39" s="93">
        <v>0.95</v>
      </c>
      <c r="N39" s="93">
        <v>0.94</v>
      </c>
      <c r="O39" s="94">
        <v>0.93</v>
      </c>
      <c r="P39" s="94">
        <v>0.92</v>
      </c>
      <c r="Q39" s="94">
        <v>0.91</v>
      </c>
      <c r="R39" s="94">
        <v>0.9</v>
      </c>
      <c r="S39" s="94">
        <v>0.9</v>
      </c>
      <c r="T39" s="93">
        <v>0.9</v>
      </c>
      <c r="U39" s="93">
        <v>0.9</v>
      </c>
      <c r="V39" s="94">
        <v>0.9</v>
      </c>
      <c r="W39" s="94">
        <v>0.9</v>
      </c>
    </row>
    <row r="40" spans="1:23" ht="12.75">
      <c r="A40" s="51" t="s">
        <v>138</v>
      </c>
      <c r="B40" s="91">
        <v>0.9</v>
      </c>
      <c r="C40" s="91">
        <v>0</v>
      </c>
      <c r="D40" s="91">
        <v>0</v>
      </c>
      <c r="E40" s="91">
        <v>0</v>
      </c>
      <c r="G40" s="69"/>
      <c r="H40" s="70"/>
      <c r="I40" s="70"/>
      <c r="J40" s="70"/>
      <c r="K40" s="70"/>
      <c r="L40" s="70"/>
      <c r="M40" s="70"/>
      <c r="N40" s="70"/>
      <c r="O40" s="69"/>
      <c r="P40" s="69"/>
      <c r="Q40" s="69"/>
      <c r="R40" s="69"/>
      <c r="S40" s="69"/>
      <c r="T40" s="70"/>
      <c r="U40" s="70"/>
      <c r="V40" s="69"/>
      <c r="W40" s="69"/>
    </row>
    <row r="41" spans="1:23" ht="12.75">
      <c r="A41" s="51" t="s">
        <v>287</v>
      </c>
      <c r="B41" s="109"/>
      <c r="C41" s="109"/>
      <c r="D41" s="109"/>
      <c r="E41" s="109"/>
      <c r="G41" s="53" t="s">
        <v>200</v>
      </c>
      <c r="H41" s="6"/>
      <c r="I41" s="6"/>
      <c r="J41" s="6"/>
      <c r="K41" s="6"/>
      <c r="O41" s="53"/>
      <c r="P41" s="53"/>
      <c r="T41" s="6"/>
      <c r="U41" s="6"/>
      <c r="V41" s="53"/>
      <c r="W41" s="53"/>
    </row>
    <row r="42" spans="1:23" ht="12.75">
      <c r="A42" s="51" t="s">
        <v>288</v>
      </c>
      <c r="B42" s="105">
        <v>800</v>
      </c>
      <c r="C42" s="105">
        <v>0</v>
      </c>
      <c r="D42" s="105">
        <v>0</v>
      </c>
      <c r="E42" s="105">
        <v>0</v>
      </c>
      <c r="G42" s="53" t="s">
        <v>221</v>
      </c>
      <c r="H42" s="6" t="s">
        <v>202</v>
      </c>
      <c r="I42" s="6" t="s">
        <v>203</v>
      </c>
      <c r="J42" s="6" t="s">
        <v>204</v>
      </c>
      <c r="K42" s="6" t="s">
        <v>205</v>
      </c>
      <c r="L42" s="6" t="s">
        <v>206</v>
      </c>
      <c r="M42" s="6" t="s">
        <v>207</v>
      </c>
      <c r="N42" s="6" t="s">
        <v>208</v>
      </c>
      <c r="O42" s="53" t="s">
        <v>209</v>
      </c>
      <c r="P42" s="53" t="s">
        <v>210</v>
      </c>
      <c r="Q42" s="53" t="s">
        <v>211</v>
      </c>
      <c r="R42" s="53" t="s">
        <v>212</v>
      </c>
      <c r="S42" s="53" t="s">
        <v>213</v>
      </c>
      <c r="T42" s="6" t="s">
        <v>222</v>
      </c>
      <c r="U42" s="6" t="s">
        <v>215</v>
      </c>
      <c r="V42" s="53" t="s">
        <v>216</v>
      </c>
      <c r="W42" s="53" t="s">
        <v>217</v>
      </c>
    </row>
    <row r="43" spans="1:23" ht="12.75">
      <c r="A43" s="51" t="s">
        <v>289</v>
      </c>
      <c r="B43" s="106">
        <v>16</v>
      </c>
      <c r="C43" s="106">
        <v>0</v>
      </c>
      <c r="D43" s="106">
        <v>0</v>
      </c>
      <c r="E43" s="106">
        <v>0</v>
      </c>
      <c r="G43" s="53" t="s">
        <v>223</v>
      </c>
      <c r="H43" s="6" t="s">
        <v>224</v>
      </c>
      <c r="I43" s="6" t="s">
        <v>225</v>
      </c>
      <c r="J43" s="6" t="s">
        <v>226</v>
      </c>
      <c r="K43" s="6" t="s">
        <v>227</v>
      </c>
      <c r="L43" s="6" t="s">
        <v>228</v>
      </c>
      <c r="M43" s="6" t="s">
        <v>229</v>
      </c>
      <c r="N43" s="6" t="s">
        <v>230</v>
      </c>
      <c r="O43" s="65" t="s">
        <v>231</v>
      </c>
      <c r="P43" s="65" t="s">
        <v>232</v>
      </c>
      <c r="Q43" s="65" t="s">
        <v>233</v>
      </c>
      <c r="R43" s="65" t="s">
        <v>234</v>
      </c>
      <c r="S43" s="65" t="s">
        <v>235</v>
      </c>
      <c r="T43" s="6" t="s">
        <v>236</v>
      </c>
      <c r="U43" s="6" t="s">
        <v>237</v>
      </c>
      <c r="V43" s="65" t="s">
        <v>239</v>
      </c>
      <c r="W43" s="65" t="s">
        <v>238</v>
      </c>
    </row>
    <row r="44" spans="1:23" ht="12.75">
      <c r="A44" s="51" t="s">
        <v>290</v>
      </c>
      <c r="B44" s="105">
        <v>100</v>
      </c>
      <c r="C44" s="105">
        <v>0</v>
      </c>
      <c r="D44" s="105">
        <v>0</v>
      </c>
      <c r="E44" s="105">
        <v>0</v>
      </c>
      <c r="G44" s="53">
        <v>2</v>
      </c>
      <c r="H44" s="6">
        <v>1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53">
        <v>0.91</v>
      </c>
      <c r="P44" s="53">
        <v>0</v>
      </c>
      <c r="Q44" s="53">
        <v>0</v>
      </c>
      <c r="R44" s="53">
        <v>0</v>
      </c>
      <c r="S44" s="53">
        <v>0</v>
      </c>
      <c r="T44" s="6">
        <v>0</v>
      </c>
      <c r="U44" s="6">
        <v>0</v>
      </c>
      <c r="V44" s="53">
        <v>0</v>
      </c>
      <c r="W44" s="53">
        <v>0</v>
      </c>
    </row>
    <row r="45" spans="1:23" ht="12.75">
      <c r="A45" s="51" t="s">
        <v>291</v>
      </c>
      <c r="B45" s="110"/>
      <c r="C45" s="110"/>
      <c r="D45" s="110"/>
      <c r="E45" s="110"/>
      <c r="G45" s="53">
        <v>3</v>
      </c>
      <c r="H45" s="6">
        <v>1</v>
      </c>
      <c r="I45" s="6">
        <v>0</v>
      </c>
      <c r="J45" s="6">
        <v>0</v>
      </c>
      <c r="K45" s="6">
        <v>0</v>
      </c>
      <c r="L45" s="6">
        <v>0.925</v>
      </c>
      <c r="M45" s="6">
        <v>0</v>
      </c>
      <c r="N45" s="6">
        <v>0</v>
      </c>
      <c r="O45" s="53">
        <v>0</v>
      </c>
      <c r="P45" s="53">
        <v>0</v>
      </c>
      <c r="Q45" s="53">
        <v>0.895</v>
      </c>
      <c r="R45" s="53">
        <v>0</v>
      </c>
      <c r="S45" s="53">
        <v>0</v>
      </c>
      <c r="T45" s="6">
        <v>0</v>
      </c>
      <c r="U45" s="6">
        <v>0</v>
      </c>
      <c r="V45" s="53">
        <v>0</v>
      </c>
      <c r="W45" s="53">
        <v>0</v>
      </c>
    </row>
    <row r="46" spans="1:23" ht="12.75">
      <c r="A46" s="51" t="s">
        <v>288</v>
      </c>
      <c r="B46" s="105">
        <v>0</v>
      </c>
      <c r="C46" s="105">
        <v>1500</v>
      </c>
      <c r="D46" s="105">
        <v>1500</v>
      </c>
      <c r="E46" s="105">
        <v>0</v>
      </c>
      <c r="G46" s="53">
        <v>4</v>
      </c>
      <c r="H46" s="6">
        <v>1</v>
      </c>
      <c r="I46" s="6">
        <v>0</v>
      </c>
      <c r="J46" s="6">
        <v>0</v>
      </c>
      <c r="K46" s="6">
        <v>0.97</v>
      </c>
      <c r="L46" s="6">
        <v>0</v>
      </c>
      <c r="M46" s="6">
        <v>0</v>
      </c>
      <c r="N46" s="6">
        <v>0</v>
      </c>
      <c r="O46" s="53">
        <v>0.91</v>
      </c>
      <c r="P46" s="53">
        <v>0</v>
      </c>
      <c r="Q46" s="53">
        <v>0</v>
      </c>
      <c r="R46" s="53">
        <v>0</v>
      </c>
      <c r="S46" s="53">
        <v>0.88</v>
      </c>
      <c r="T46" s="6">
        <v>0</v>
      </c>
      <c r="U46" s="6">
        <v>0</v>
      </c>
      <c r="V46" s="53">
        <v>0</v>
      </c>
      <c r="W46" s="53">
        <v>0</v>
      </c>
    </row>
    <row r="47" spans="1:23" ht="12.75">
      <c r="A47" s="51" t="s">
        <v>289</v>
      </c>
      <c r="B47" s="107">
        <v>0</v>
      </c>
      <c r="C47" s="107">
        <v>16</v>
      </c>
      <c r="D47" s="107">
        <v>16</v>
      </c>
      <c r="E47" s="107">
        <v>0</v>
      </c>
      <c r="G47" s="53">
        <v>5</v>
      </c>
      <c r="H47" s="6">
        <v>1</v>
      </c>
      <c r="I47" s="6">
        <v>0</v>
      </c>
      <c r="J47" s="6">
        <v>0.985</v>
      </c>
      <c r="K47" s="6">
        <v>0</v>
      </c>
      <c r="L47" s="6">
        <v>0</v>
      </c>
      <c r="M47" s="6">
        <v>0.925</v>
      </c>
      <c r="N47" s="6">
        <v>0</v>
      </c>
      <c r="O47" s="53">
        <v>0</v>
      </c>
      <c r="P47" s="53">
        <v>0.895</v>
      </c>
      <c r="Q47" s="53">
        <v>0</v>
      </c>
      <c r="R47" s="53">
        <v>0</v>
      </c>
      <c r="S47" s="53">
        <v>0.88</v>
      </c>
      <c r="T47" s="6">
        <v>0</v>
      </c>
      <c r="U47" s="6">
        <v>0</v>
      </c>
      <c r="V47" s="53">
        <v>0</v>
      </c>
      <c r="W47" s="53">
        <v>0</v>
      </c>
    </row>
    <row r="48" spans="1:23" ht="12.75">
      <c r="A48" s="51" t="s">
        <v>290</v>
      </c>
      <c r="B48" s="89">
        <v>0</v>
      </c>
      <c r="C48" s="89">
        <v>100</v>
      </c>
      <c r="D48" s="89">
        <v>100</v>
      </c>
      <c r="E48" s="89">
        <v>0</v>
      </c>
      <c r="G48" s="53">
        <v>6</v>
      </c>
      <c r="H48" s="6">
        <v>1</v>
      </c>
      <c r="I48" s="6">
        <v>0</v>
      </c>
      <c r="J48" s="6">
        <v>0.985</v>
      </c>
      <c r="K48" s="6">
        <v>0</v>
      </c>
      <c r="L48" s="6">
        <v>0.925</v>
      </c>
      <c r="M48" s="6">
        <v>0</v>
      </c>
      <c r="N48" s="6">
        <v>0.91</v>
      </c>
      <c r="O48" s="53">
        <v>0</v>
      </c>
      <c r="P48" s="53">
        <v>0.895</v>
      </c>
      <c r="Q48" s="53">
        <v>0</v>
      </c>
      <c r="R48" s="53">
        <v>0.89</v>
      </c>
      <c r="S48" s="53">
        <v>0</v>
      </c>
      <c r="T48" s="6">
        <v>0</v>
      </c>
      <c r="U48" s="6">
        <v>0</v>
      </c>
      <c r="V48" s="53">
        <v>0</v>
      </c>
      <c r="W48" s="53">
        <v>0</v>
      </c>
    </row>
    <row r="49" spans="1:23" ht="12.75">
      <c r="A49" s="51" t="s">
        <v>292</v>
      </c>
      <c r="B49" s="92">
        <v>0</v>
      </c>
      <c r="C49" s="92">
        <v>2</v>
      </c>
      <c r="D49" s="92">
        <v>2</v>
      </c>
      <c r="E49" s="92">
        <v>0</v>
      </c>
      <c r="G49" s="53">
        <v>7</v>
      </c>
      <c r="H49" s="6">
        <v>1</v>
      </c>
      <c r="I49" s="6">
        <v>0</v>
      </c>
      <c r="J49" s="6">
        <v>0.985</v>
      </c>
      <c r="K49" s="6">
        <v>0</v>
      </c>
      <c r="L49" s="6">
        <v>0.925</v>
      </c>
      <c r="M49" s="6">
        <v>0</v>
      </c>
      <c r="N49" s="6">
        <v>0.91</v>
      </c>
      <c r="O49" s="53">
        <v>0</v>
      </c>
      <c r="P49" s="53">
        <v>0.895</v>
      </c>
      <c r="Q49" s="53">
        <v>0</v>
      </c>
      <c r="R49" s="53">
        <v>0.89</v>
      </c>
      <c r="S49" s="53">
        <v>0</v>
      </c>
      <c r="T49" s="6">
        <v>0.87</v>
      </c>
      <c r="U49" s="6">
        <v>0</v>
      </c>
      <c r="V49" s="53">
        <v>0</v>
      </c>
      <c r="W49" s="53">
        <v>0</v>
      </c>
    </row>
    <row r="50" spans="1:23" ht="12.75">
      <c r="A50" s="51" t="s">
        <v>293</v>
      </c>
      <c r="B50" s="92">
        <v>0</v>
      </c>
      <c r="C50" s="92">
        <v>15</v>
      </c>
      <c r="D50" s="92">
        <v>15</v>
      </c>
      <c r="E50" s="92">
        <v>0</v>
      </c>
      <c r="G50" s="53">
        <v>8</v>
      </c>
      <c r="H50" s="6">
        <v>1</v>
      </c>
      <c r="I50" s="6">
        <v>0</v>
      </c>
      <c r="J50" s="6">
        <v>0.985</v>
      </c>
      <c r="K50" s="6">
        <v>0</v>
      </c>
      <c r="L50" s="6">
        <v>0.925</v>
      </c>
      <c r="M50" s="6">
        <v>0</v>
      </c>
      <c r="N50" s="6">
        <v>0.91</v>
      </c>
      <c r="O50" s="53">
        <v>0</v>
      </c>
      <c r="P50" s="53">
        <v>0.895</v>
      </c>
      <c r="Q50" s="53">
        <v>0</v>
      </c>
      <c r="R50" s="53">
        <v>0.89</v>
      </c>
      <c r="S50" s="53">
        <v>0</v>
      </c>
      <c r="T50" s="6">
        <v>0.87</v>
      </c>
      <c r="U50" s="6">
        <v>0</v>
      </c>
      <c r="V50" s="53">
        <v>0.84</v>
      </c>
      <c r="W50" s="53">
        <v>0</v>
      </c>
    </row>
    <row r="51" spans="1:23" ht="12.75">
      <c r="A51" s="51" t="s">
        <v>294</v>
      </c>
      <c r="B51" s="91">
        <v>0</v>
      </c>
      <c r="C51" s="91">
        <v>0.05</v>
      </c>
      <c r="D51" s="91">
        <v>0.05</v>
      </c>
      <c r="E51" s="91">
        <v>0</v>
      </c>
      <c r="G51" s="53">
        <v>9</v>
      </c>
      <c r="H51" s="6">
        <v>1</v>
      </c>
      <c r="I51" s="6">
        <v>0</v>
      </c>
      <c r="J51" s="6">
        <v>0</v>
      </c>
      <c r="K51" s="6">
        <v>0.97</v>
      </c>
      <c r="L51" s="6">
        <v>0</v>
      </c>
      <c r="M51" s="6">
        <v>0</v>
      </c>
      <c r="N51" s="6">
        <v>0.91</v>
      </c>
      <c r="O51" s="53">
        <v>0</v>
      </c>
      <c r="P51" s="53">
        <v>0</v>
      </c>
      <c r="Q51" s="53">
        <v>0.895</v>
      </c>
      <c r="R51" s="53">
        <v>0.89</v>
      </c>
      <c r="S51" s="53">
        <v>0.88</v>
      </c>
      <c r="T51" s="6">
        <v>0.87</v>
      </c>
      <c r="U51" s="6">
        <v>0.85</v>
      </c>
      <c r="V51" s="53">
        <v>0.84</v>
      </c>
      <c r="W51" s="53">
        <v>0</v>
      </c>
    </row>
    <row r="52" spans="1:23" ht="12.75">
      <c r="A52" s="51" t="s">
        <v>139</v>
      </c>
      <c r="B52" s="68"/>
      <c r="C52" s="68"/>
      <c r="D52" s="68"/>
      <c r="E52" s="68"/>
      <c r="G52" s="53">
        <v>10</v>
      </c>
      <c r="H52" s="6">
        <v>1</v>
      </c>
      <c r="I52" s="6">
        <v>0</v>
      </c>
      <c r="J52" s="6">
        <v>0</v>
      </c>
      <c r="K52" s="6">
        <v>0.97</v>
      </c>
      <c r="L52" s="6">
        <v>0</v>
      </c>
      <c r="M52" s="6">
        <v>0</v>
      </c>
      <c r="N52" s="6">
        <v>0.91</v>
      </c>
      <c r="O52" s="53">
        <v>0</v>
      </c>
      <c r="P52" s="53">
        <v>0</v>
      </c>
      <c r="Q52" s="53">
        <v>0.895</v>
      </c>
      <c r="R52" s="53">
        <v>0.89</v>
      </c>
      <c r="S52" s="53">
        <v>0.88</v>
      </c>
      <c r="T52" s="6">
        <v>0.87</v>
      </c>
      <c r="U52" s="6">
        <v>0.85</v>
      </c>
      <c r="V52" s="53">
        <v>0.84</v>
      </c>
      <c r="W52" s="53">
        <v>0.83</v>
      </c>
    </row>
    <row r="53" spans="1:23" ht="12.75">
      <c r="A53" s="51" t="s">
        <v>140</v>
      </c>
      <c r="B53" s="92">
        <v>50</v>
      </c>
      <c r="C53" s="92">
        <v>50</v>
      </c>
      <c r="D53" s="92">
        <v>50</v>
      </c>
      <c r="E53" s="92">
        <v>50</v>
      </c>
      <c r="G53" s="53">
        <v>11</v>
      </c>
      <c r="H53" s="6">
        <v>1</v>
      </c>
      <c r="I53" s="6">
        <v>0</v>
      </c>
      <c r="J53" s="6">
        <v>0</v>
      </c>
      <c r="K53" s="6">
        <v>0.97</v>
      </c>
      <c r="L53" s="6">
        <v>0</v>
      </c>
      <c r="M53" s="6">
        <v>0</v>
      </c>
      <c r="N53" s="6">
        <v>0.91</v>
      </c>
      <c r="O53" s="53">
        <v>0</v>
      </c>
      <c r="P53" s="53">
        <v>0.895</v>
      </c>
      <c r="Q53" s="53">
        <v>0.895</v>
      </c>
      <c r="R53" s="53">
        <v>0.89</v>
      </c>
      <c r="S53" s="53">
        <v>0.88</v>
      </c>
      <c r="T53" s="6">
        <v>0.87</v>
      </c>
      <c r="U53" s="6">
        <v>0.85</v>
      </c>
      <c r="V53" s="53">
        <v>0.84</v>
      </c>
      <c r="W53" s="53">
        <v>0.83</v>
      </c>
    </row>
    <row r="54" spans="1:23" ht="12.75">
      <c r="A54" s="51" t="s">
        <v>141</v>
      </c>
      <c r="B54" s="92">
        <v>200</v>
      </c>
      <c r="C54" s="92">
        <v>200</v>
      </c>
      <c r="D54" s="92">
        <v>200</v>
      </c>
      <c r="E54" s="92">
        <v>200</v>
      </c>
      <c r="G54" s="53">
        <v>13</v>
      </c>
      <c r="H54" s="6">
        <v>1</v>
      </c>
      <c r="I54" s="6">
        <v>0</v>
      </c>
      <c r="J54" s="6">
        <v>0</v>
      </c>
      <c r="K54" s="6">
        <v>0.97</v>
      </c>
      <c r="L54" s="6">
        <v>0</v>
      </c>
      <c r="M54" s="6">
        <v>0.925</v>
      </c>
      <c r="N54" s="6">
        <v>0.91</v>
      </c>
      <c r="O54" s="53">
        <v>0.91</v>
      </c>
      <c r="P54" s="53">
        <v>0.895</v>
      </c>
      <c r="Q54" s="53">
        <v>0.895</v>
      </c>
      <c r="R54" s="53">
        <v>0.89</v>
      </c>
      <c r="S54" s="53">
        <v>0.88</v>
      </c>
      <c r="T54" s="6">
        <v>0.87</v>
      </c>
      <c r="U54" s="6">
        <v>0.85</v>
      </c>
      <c r="V54" s="53">
        <v>0.84</v>
      </c>
      <c r="W54" s="53">
        <v>0.83</v>
      </c>
    </row>
    <row r="55" spans="1:23" ht="12.75">
      <c r="A55" s="51" t="s">
        <v>142</v>
      </c>
      <c r="B55" s="104">
        <f>INT(((B17+B18+B23)/B26)-B27)</f>
        <v>16</v>
      </c>
      <c r="C55" s="104">
        <f>INT(((C17+C18+C23)/C26)-C27)</f>
        <v>16</v>
      </c>
      <c r="D55" s="104">
        <f>INT(((D17+D18+D23)/D26)-D27)</f>
        <v>16</v>
      </c>
      <c r="E55" s="104">
        <f>INT(((E17+E18+E23)/E26)-E27)</f>
        <v>16</v>
      </c>
      <c r="G55" s="53">
        <v>14</v>
      </c>
      <c r="H55" s="6">
        <v>1</v>
      </c>
      <c r="I55" s="6">
        <v>0</v>
      </c>
      <c r="J55" s="6">
        <v>0</v>
      </c>
      <c r="K55" s="6">
        <v>0.97</v>
      </c>
      <c r="L55" s="6">
        <v>0.925</v>
      </c>
      <c r="M55" s="6">
        <v>0.925</v>
      </c>
      <c r="N55" s="6">
        <v>0.91</v>
      </c>
      <c r="O55" s="53">
        <v>0.91</v>
      </c>
      <c r="P55" s="53">
        <v>0.895</v>
      </c>
      <c r="Q55" s="53">
        <v>0.895</v>
      </c>
      <c r="R55" s="53">
        <v>0.89</v>
      </c>
      <c r="S55" s="53">
        <v>0.88</v>
      </c>
      <c r="T55" s="6">
        <v>0.87</v>
      </c>
      <c r="U55" s="6">
        <v>0.85</v>
      </c>
      <c r="V55" s="53">
        <v>0.84</v>
      </c>
      <c r="W55" s="53">
        <v>0.83</v>
      </c>
    </row>
    <row r="56" spans="1:23" ht="12.75">
      <c r="A56" s="115" t="s">
        <v>11</v>
      </c>
      <c r="G56" s="53">
        <v>15</v>
      </c>
      <c r="H56" s="6">
        <v>1</v>
      </c>
      <c r="I56" s="6">
        <v>0</v>
      </c>
      <c r="J56" s="6">
        <v>0.985</v>
      </c>
      <c r="K56" s="6">
        <v>0.97</v>
      </c>
      <c r="L56" s="6">
        <v>0.925</v>
      </c>
      <c r="M56" s="6">
        <v>0.925</v>
      </c>
      <c r="N56" s="6">
        <v>0.91</v>
      </c>
      <c r="O56" s="53">
        <v>0.91</v>
      </c>
      <c r="P56" s="53">
        <v>0.895</v>
      </c>
      <c r="Q56" s="53">
        <v>0.895</v>
      </c>
      <c r="R56" s="53">
        <v>0.89</v>
      </c>
      <c r="S56" s="53">
        <v>0.88</v>
      </c>
      <c r="T56" s="6">
        <v>0.87</v>
      </c>
      <c r="U56" s="6">
        <v>0.85</v>
      </c>
      <c r="V56" s="53">
        <v>0.84</v>
      </c>
      <c r="W56" s="53">
        <v>0.83</v>
      </c>
    </row>
    <row r="57" spans="1:23" ht="12.75">
      <c r="A57" s="1" t="s">
        <v>12</v>
      </c>
      <c r="B57" s="85">
        <v>0.4</v>
      </c>
      <c r="C57" s="85">
        <v>0.4</v>
      </c>
      <c r="D57" s="85">
        <v>0.4</v>
      </c>
      <c r="E57" s="85">
        <v>0.4</v>
      </c>
      <c r="G57" s="53">
        <v>16</v>
      </c>
      <c r="H57" s="6">
        <v>1</v>
      </c>
      <c r="I57" s="6">
        <v>1</v>
      </c>
      <c r="J57" s="6">
        <v>0.985</v>
      </c>
      <c r="K57" s="6">
        <v>0.97</v>
      </c>
      <c r="L57" s="6">
        <v>0.925</v>
      </c>
      <c r="M57" s="6">
        <v>0.925</v>
      </c>
      <c r="N57" s="6">
        <v>0.91</v>
      </c>
      <c r="O57" s="53">
        <v>0.91</v>
      </c>
      <c r="P57" s="53">
        <v>0.895</v>
      </c>
      <c r="Q57" s="53">
        <v>0.895</v>
      </c>
      <c r="R57" s="53">
        <v>0.89</v>
      </c>
      <c r="S57" s="53">
        <v>0.88</v>
      </c>
      <c r="T57" s="6">
        <v>0.87</v>
      </c>
      <c r="U57" s="6">
        <v>0.85</v>
      </c>
      <c r="V57" s="53">
        <v>0.84</v>
      </c>
      <c r="W57" s="53">
        <v>0.83</v>
      </c>
    </row>
    <row r="58" spans="1:23" ht="12.75">
      <c r="A58" s="1" t="s">
        <v>13</v>
      </c>
      <c r="B58" s="14">
        <v>0.75</v>
      </c>
      <c r="C58" s="14">
        <v>0.75</v>
      </c>
      <c r="D58" s="14">
        <v>0.75</v>
      </c>
      <c r="E58" s="14">
        <v>0.75</v>
      </c>
      <c r="H58" s="6"/>
      <c r="I58" s="6"/>
      <c r="J58" s="6"/>
      <c r="K58" s="6"/>
      <c r="O58" s="53"/>
      <c r="P58" s="53"/>
      <c r="T58" s="6"/>
      <c r="U58" s="6"/>
      <c r="V58" s="53"/>
      <c r="W58" s="53"/>
    </row>
    <row r="59" spans="1:23" ht="12.75">
      <c r="A59" s="1" t="s">
        <v>14</v>
      </c>
      <c r="B59" s="14">
        <v>1</v>
      </c>
      <c r="C59" s="14">
        <v>1</v>
      </c>
      <c r="D59" s="14">
        <v>1</v>
      </c>
      <c r="E59" s="14">
        <v>1</v>
      </c>
      <c r="G59" s="53" t="s">
        <v>218</v>
      </c>
      <c r="H59" s="6"/>
      <c r="I59" s="6"/>
      <c r="J59" s="6"/>
      <c r="K59" s="6"/>
      <c r="O59" s="53"/>
      <c r="P59" s="53"/>
      <c r="T59" s="6"/>
      <c r="U59" s="6"/>
      <c r="V59" s="53"/>
      <c r="W59" s="53"/>
    </row>
    <row r="60" spans="1:23" ht="12.75">
      <c r="A60" s="1" t="s">
        <v>15</v>
      </c>
      <c r="B60" s="15">
        <v>100</v>
      </c>
      <c r="C60" s="15">
        <v>100</v>
      </c>
      <c r="D60" s="15">
        <v>100</v>
      </c>
      <c r="E60" s="15">
        <v>100</v>
      </c>
      <c r="G60" s="53" t="s">
        <v>221</v>
      </c>
      <c r="H60" s="6" t="s">
        <v>202</v>
      </c>
      <c r="I60" s="6" t="s">
        <v>203</v>
      </c>
      <c r="J60" s="6" t="s">
        <v>204</v>
      </c>
      <c r="K60" s="6" t="s">
        <v>205</v>
      </c>
      <c r="L60" s="6" t="s">
        <v>206</v>
      </c>
      <c r="M60" s="6" t="s">
        <v>207</v>
      </c>
      <c r="N60" s="6" t="s">
        <v>208</v>
      </c>
      <c r="O60" s="53" t="s">
        <v>209</v>
      </c>
      <c r="P60" s="53" t="s">
        <v>210</v>
      </c>
      <c r="Q60" s="53" t="s">
        <v>211</v>
      </c>
      <c r="R60" s="53" t="s">
        <v>212</v>
      </c>
      <c r="S60" s="53" t="s">
        <v>213</v>
      </c>
      <c r="T60" s="6" t="s">
        <v>222</v>
      </c>
      <c r="U60" s="6" t="s">
        <v>215</v>
      </c>
      <c r="V60" s="53" t="s">
        <v>216</v>
      </c>
      <c r="W60" s="53" t="s">
        <v>217</v>
      </c>
    </row>
    <row r="61" spans="1:23" ht="12.75">
      <c r="A61" s="1" t="s">
        <v>16</v>
      </c>
      <c r="B61" s="4">
        <v>250</v>
      </c>
      <c r="C61" s="4">
        <v>250</v>
      </c>
      <c r="D61" s="4">
        <v>250</v>
      </c>
      <c r="E61" s="4">
        <v>250</v>
      </c>
      <c r="G61" s="53" t="s">
        <v>223</v>
      </c>
      <c r="H61" s="6" t="s">
        <v>224</v>
      </c>
      <c r="I61" s="6" t="s">
        <v>225</v>
      </c>
      <c r="J61" s="6" t="s">
        <v>226</v>
      </c>
      <c r="K61" s="6" t="s">
        <v>227</v>
      </c>
      <c r="L61" s="6" t="s">
        <v>228</v>
      </c>
      <c r="M61" s="6" t="s">
        <v>229</v>
      </c>
      <c r="N61" s="6" t="s">
        <v>230</v>
      </c>
      <c r="O61" s="65" t="s">
        <v>231</v>
      </c>
      <c r="P61" s="65" t="s">
        <v>232</v>
      </c>
      <c r="Q61" s="65" t="s">
        <v>233</v>
      </c>
      <c r="R61" s="65" t="s">
        <v>234</v>
      </c>
      <c r="S61" s="65" t="s">
        <v>235</v>
      </c>
      <c r="T61" s="6" t="s">
        <v>236</v>
      </c>
      <c r="U61" s="6" t="s">
        <v>237</v>
      </c>
      <c r="V61" s="65" t="s">
        <v>239</v>
      </c>
      <c r="W61" s="65" t="s">
        <v>238</v>
      </c>
    </row>
    <row r="62" spans="1:23" ht="12.75">
      <c r="A62" s="1" t="s">
        <v>17</v>
      </c>
      <c r="B62" s="4">
        <v>28</v>
      </c>
      <c r="C62" s="4">
        <v>28</v>
      </c>
      <c r="D62" s="4">
        <v>28</v>
      </c>
      <c r="E62" s="4">
        <v>28</v>
      </c>
      <c r="G62" s="53">
        <v>2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53">
        <v>0.91</v>
      </c>
      <c r="P62" s="53">
        <v>0</v>
      </c>
      <c r="Q62" s="53">
        <v>0</v>
      </c>
      <c r="R62" s="53">
        <v>0</v>
      </c>
      <c r="S62" s="53">
        <v>0</v>
      </c>
      <c r="T62" s="6">
        <v>0</v>
      </c>
      <c r="U62" s="6">
        <v>0</v>
      </c>
      <c r="V62" s="53">
        <v>0</v>
      </c>
      <c r="W62" s="53">
        <v>0</v>
      </c>
    </row>
    <row r="63" spans="1:23" ht="12.75">
      <c r="A63" s="1" t="s">
        <v>18</v>
      </c>
      <c r="B63" s="84">
        <v>7</v>
      </c>
      <c r="C63" s="84">
        <v>7</v>
      </c>
      <c r="D63" s="84">
        <v>7</v>
      </c>
      <c r="E63" s="84">
        <v>7</v>
      </c>
      <c r="G63" s="53">
        <v>3</v>
      </c>
      <c r="H63" s="6">
        <v>1</v>
      </c>
      <c r="I63" s="6">
        <v>0</v>
      </c>
      <c r="J63" s="6">
        <v>0</v>
      </c>
      <c r="K63" s="6">
        <v>0</v>
      </c>
      <c r="L63" s="6">
        <v>0.925</v>
      </c>
      <c r="M63" s="6">
        <v>0</v>
      </c>
      <c r="N63" s="6">
        <v>0</v>
      </c>
      <c r="O63" s="53">
        <v>0</v>
      </c>
      <c r="P63" s="53">
        <v>0</v>
      </c>
      <c r="Q63" s="53">
        <v>0.895</v>
      </c>
      <c r="R63" s="53">
        <v>0</v>
      </c>
      <c r="S63" s="53">
        <v>0</v>
      </c>
      <c r="T63" s="6">
        <v>0</v>
      </c>
      <c r="U63" s="6">
        <v>0</v>
      </c>
      <c r="V63" s="53">
        <v>0</v>
      </c>
      <c r="W63" s="53">
        <v>0</v>
      </c>
    </row>
    <row r="64" spans="1:23" ht="12.75">
      <c r="A64" s="1" t="s">
        <v>19</v>
      </c>
      <c r="B64" s="86">
        <v>60</v>
      </c>
      <c r="C64" s="86">
        <v>60</v>
      </c>
      <c r="D64" s="86">
        <v>60</v>
      </c>
      <c r="E64" s="86">
        <v>60</v>
      </c>
      <c r="G64" s="53">
        <v>4</v>
      </c>
      <c r="H64" s="6">
        <v>1</v>
      </c>
      <c r="I64" s="6">
        <v>0</v>
      </c>
      <c r="J64" s="6">
        <v>0</v>
      </c>
      <c r="K64" s="6">
        <v>0.97</v>
      </c>
      <c r="L64" s="6">
        <v>0</v>
      </c>
      <c r="M64" s="6">
        <v>0</v>
      </c>
      <c r="N64" s="6">
        <v>0</v>
      </c>
      <c r="O64" s="53">
        <v>0.91</v>
      </c>
      <c r="P64" s="53">
        <v>0</v>
      </c>
      <c r="Q64" s="53">
        <v>0</v>
      </c>
      <c r="R64" s="53">
        <v>0</v>
      </c>
      <c r="S64" s="53">
        <v>0.88</v>
      </c>
      <c r="T64" s="6">
        <v>0</v>
      </c>
      <c r="U64" s="6">
        <v>0</v>
      </c>
      <c r="V64" s="53">
        <v>0</v>
      </c>
      <c r="W64" s="53">
        <v>0</v>
      </c>
    </row>
    <row r="65" spans="1:23" ht="12.75">
      <c r="A65" s="1" t="s">
        <v>20</v>
      </c>
      <c r="B65" s="14">
        <v>0.05</v>
      </c>
      <c r="C65" s="14">
        <v>0.05</v>
      </c>
      <c r="D65" s="14">
        <v>0.05</v>
      </c>
      <c r="E65" s="14">
        <v>0.05</v>
      </c>
      <c r="G65" s="53">
        <v>5</v>
      </c>
      <c r="H65" s="6">
        <v>1</v>
      </c>
      <c r="I65" s="6">
        <v>0</v>
      </c>
      <c r="J65" s="6">
        <v>0.985</v>
      </c>
      <c r="K65" s="6">
        <v>0</v>
      </c>
      <c r="L65" s="6">
        <v>0</v>
      </c>
      <c r="M65" s="6">
        <v>0.925</v>
      </c>
      <c r="N65" s="6">
        <v>0</v>
      </c>
      <c r="O65" s="53">
        <v>0</v>
      </c>
      <c r="P65" s="53">
        <v>0.895</v>
      </c>
      <c r="Q65" s="53">
        <v>0</v>
      </c>
      <c r="R65" s="53">
        <v>0</v>
      </c>
      <c r="S65" s="53">
        <v>0.88</v>
      </c>
      <c r="T65" s="6">
        <v>0</v>
      </c>
      <c r="U65" s="6">
        <v>0</v>
      </c>
      <c r="V65" s="53">
        <v>0</v>
      </c>
      <c r="W65" s="53">
        <v>0</v>
      </c>
    </row>
    <row r="66" spans="1:23" ht="12.75">
      <c r="A66" s="45" t="s">
        <v>305</v>
      </c>
      <c r="B66" s="4">
        <v>100</v>
      </c>
      <c r="C66" s="4">
        <v>100</v>
      </c>
      <c r="D66" s="4">
        <v>100</v>
      </c>
      <c r="E66" s="4">
        <v>100</v>
      </c>
      <c r="G66" s="53">
        <v>6</v>
      </c>
      <c r="H66" s="6">
        <v>1</v>
      </c>
      <c r="I66" s="6">
        <v>0</v>
      </c>
      <c r="J66" s="6">
        <v>0.985</v>
      </c>
      <c r="K66" s="6">
        <v>0</v>
      </c>
      <c r="L66" s="6">
        <v>0.925</v>
      </c>
      <c r="M66" s="6">
        <v>0</v>
      </c>
      <c r="N66" s="6">
        <v>0.91</v>
      </c>
      <c r="O66" s="53">
        <v>0</v>
      </c>
      <c r="P66" s="53">
        <v>0.895</v>
      </c>
      <c r="Q66" s="53">
        <v>0</v>
      </c>
      <c r="R66" s="53">
        <v>0.89</v>
      </c>
      <c r="S66" s="53">
        <v>0</v>
      </c>
      <c r="T66" s="6">
        <v>0</v>
      </c>
      <c r="U66" s="6">
        <v>0</v>
      </c>
      <c r="V66" s="53">
        <v>0</v>
      </c>
      <c r="W66" s="53">
        <v>0</v>
      </c>
    </row>
    <row r="67" spans="2:23" ht="12.75">
      <c r="B67" s="97" t="str">
        <f aca="true" t="shared" si="0" ref="B67:E68">B7</f>
        <v>Scenario</v>
      </c>
      <c r="C67" s="97" t="str">
        <f t="shared" si="0"/>
        <v>Scenario</v>
      </c>
      <c r="D67" s="97" t="str">
        <f t="shared" si="0"/>
        <v>Scenario</v>
      </c>
      <c r="E67" s="97" t="str">
        <f t="shared" si="0"/>
        <v>Scenario</v>
      </c>
      <c r="G67" s="53">
        <v>7</v>
      </c>
      <c r="H67" s="6">
        <v>1</v>
      </c>
      <c r="I67" s="6">
        <v>0</v>
      </c>
      <c r="J67" s="6">
        <v>0.985</v>
      </c>
      <c r="K67" s="6">
        <v>0</v>
      </c>
      <c r="L67" s="6">
        <v>0.925</v>
      </c>
      <c r="M67" s="6">
        <v>0</v>
      </c>
      <c r="N67" s="6">
        <v>0.91</v>
      </c>
      <c r="O67" s="53">
        <v>0</v>
      </c>
      <c r="P67" s="53">
        <v>0.895</v>
      </c>
      <c r="Q67" s="53">
        <v>0</v>
      </c>
      <c r="R67" s="53">
        <v>0.89</v>
      </c>
      <c r="S67" s="53">
        <v>0</v>
      </c>
      <c r="T67" s="6">
        <v>0.87</v>
      </c>
      <c r="U67" s="6">
        <v>0</v>
      </c>
      <c r="V67" s="53">
        <v>0</v>
      </c>
      <c r="W67" s="53">
        <v>0</v>
      </c>
    </row>
    <row r="68" spans="1:23" ht="12.75">
      <c r="A68" s="74" t="s">
        <v>10</v>
      </c>
      <c r="B68" s="97" t="str">
        <f t="shared" si="0"/>
        <v>Natural</v>
      </c>
      <c r="C68" s="97" t="str">
        <f t="shared" si="0"/>
        <v>On-farm</v>
      </c>
      <c r="D68" s="97" t="str">
        <f t="shared" si="0"/>
        <v>Off-farm</v>
      </c>
      <c r="E68" s="97" t="str">
        <f t="shared" si="0"/>
        <v>Commercial</v>
      </c>
      <c r="G68" s="53">
        <v>8</v>
      </c>
      <c r="H68" s="6">
        <v>1</v>
      </c>
      <c r="I68" s="6">
        <v>0</v>
      </c>
      <c r="J68" s="6">
        <v>0.985</v>
      </c>
      <c r="K68" s="6">
        <v>0</v>
      </c>
      <c r="L68" s="6">
        <v>0.925</v>
      </c>
      <c r="M68" s="6">
        <v>0</v>
      </c>
      <c r="N68" s="6">
        <v>0.91</v>
      </c>
      <c r="O68" s="53">
        <v>0</v>
      </c>
      <c r="P68" s="53">
        <v>0.895</v>
      </c>
      <c r="Q68" s="53">
        <v>0</v>
      </c>
      <c r="R68" s="53">
        <v>0.89</v>
      </c>
      <c r="S68" s="53">
        <v>0</v>
      </c>
      <c r="T68" s="6">
        <v>0.87</v>
      </c>
      <c r="U68" s="6">
        <v>0</v>
      </c>
      <c r="V68" s="53">
        <v>0.84</v>
      </c>
      <c r="W68" s="53">
        <v>0</v>
      </c>
    </row>
    <row r="69" spans="1:23" ht="12.75">
      <c r="A69" s="27"/>
      <c r="B69" s="73"/>
      <c r="C69" s="73"/>
      <c r="D69" s="73"/>
      <c r="E69" s="73"/>
      <c r="G69" s="53">
        <v>9</v>
      </c>
      <c r="H69" s="6">
        <v>1</v>
      </c>
      <c r="I69" s="6">
        <v>0</v>
      </c>
      <c r="J69" s="6">
        <v>0</v>
      </c>
      <c r="K69" s="6">
        <v>0.97</v>
      </c>
      <c r="L69" s="6">
        <v>0</v>
      </c>
      <c r="M69" s="6">
        <v>0</v>
      </c>
      <c r="N69" s="6">
        <v>0.91</v>
      </c>
      <c r="O69" s="53">
        <v>0</v>
      </c>
      <c r="P69" s="53">
        <v>0</v>
      </c>
      <c r="Q69" s="53">
        <v>0.895</v>
      </c>
      <c r="R69" s="53">
        <v>0.89</v>
      </c>
      <c r="S69" s="53">
        <v>0.88</v>
      </c>
      <c r="T69" s="6">
        <v>0.87</v>
      </c>
      <c r="U69" s="6">
        <v>0.85</v>
      </c>
      <c r="V69" s="53">
        <v>0.84</v>
      </c>
      <c r="W69" s="53">
        <v>0</v>
      </c>
    </row>
    <row r="70" spans="1:23" ht="12.75">
      <c r="A70" s="52" t="s">
        <v>144</v>
      </c>
      <c r="B70" s="53"/>
      <c r="C70" s="53"/>
      <c r="D70" s="53"/>
      <c r="E70" s="53"/>
      <c r="G70" s="53">
        <v>10</v>
      </c>
      <c r="H70" s="6">
        <v>1</v>
      </c>
      <c r="I70" s="6">
        <v>0</v>
      </c>
      <c r="J70" s="6">
        <v>0</v>
      </c>
      <c r="K70" s="6">
        <v>0.97</v>
      </c>
      <c r="L70" s="6">
        <v>0</v>
      </c>
      <c r="M70" s="6">
        <v>0</v>
      </c>
      <c r="N70" s="6">
        <v>0.91</v>
      </c>
      <c r="O70" s="53">
        <v>0</v>
      </c>
      <c r="P70" s="53">
        <v>0</v>
      </c>
      <c r="Q70" s="53">
        <v>0.895</v>
      </c>
      <c r="R70" s="53">
        <v>0.89</v>
      </c>
      <c r="S70" s="53">
        <v>0.88</v>
      </c>
      <c r="T70" s="6">
        <v>0.87</v>
      </c>
      <c r="U70" s="6">
        <v>0.85</v>
      </c>
      <c r="V70" s="53">
        <v>0.84</v>
      </c>
      <c r="W70" s="53">
        <v>0.83</v>
      </c>
    </row>
    <row r="71" spans="1:23" ht="12.75">
      <c r="A71" s="51" t="s">
        <v>145</v>
      </c>
      <c r="B71" s="91">
        <v>0.5</v>
      </c>
      <c r="C71" s="91">
        <v>0.5</v>
      </c>
      <c r="D71" s="91">
        <v>0.5</v>
      </c>
      <c r="E71" s="91">
        <v>0.5</v>
      </c>
      <c r="G71" s="53">
        <v>11</v>
      </c>
      <c r="H71" s="6">
        <v>1</v>
      </c>
      <c r="I71" s="6">
        <v>0</v>
      </c>
      <c r="J71" s="6">
        <v>0</v>
      </c>
      <c r="K71" s="6">
        <v>0.97</v>
      </c>
      <c r="L71" s="6">
        <v>0</v>
      </c>
      <c r="M71" s="6">
        <v>0</v>
      </c>
      <c r="N71" s="6">
        <v>0.91</v>
      </c>
      <c r="O71" s="53">
        <v>0</v>
      </c>
      <c r="P71" s="53">
        <v>0.895</v>
      </c>
      <c r="Q71" s="53">
        <v>0.895</v>
      </c>
      <c r="R71" s="53">
        <v>0.89</v>
      </c>
      <c r="S71" s="53">
        <v>0.88</v>
      </c>
      <c r="T71" s="6">
        <v>0.87</v>
      </c>
      <c r="U71" s="6">
        <v>0.85</v>
      </c>
      <c r="V71" s="53">
        <v>0.84</v>
      </c>
      <c r="W71" s="53">
        <v>0.83</v>
      </c>
    </row>
    <row r="72" spans="1:23" ht="12.75">
      <c r="A72" s="13" t="s">
        <v>21</v>
      </c>
      <c r="B72" s="67"/>
      <c r="C72" s="67"/>
      <c r="D72" s="67"/>
      <c r="E72" s="67"/>
      <c r="G72" s="53">
        <v>12</v>
      </c>
      <c r="H72" s="6">
        <v>1</v>
      </c>
      <c r="I72" s="6">
        <v>0</v>
      </c>
      <c r="J72" s="6">
        <v>0</v>
      </c>
      <c r="K72" s="6">
        <v>0.97</v>
      </c>
      <c r="L72" s="6">
        <v>0</v>
      </c>
      <c r="M72" s="6">
        <v>0</v>
      </c>
      <c r="N72" s="6">
        <v>0.91</v>
      </c>
      <c r="O72" s="53">
        <v>0.91</v>
      </c>
      <c r="P72" s="53">
        <v>0.895</v>
      </c>
      <c r="Q72" s="53">
        <v>0.895</v>
      </c>
      <c r="R72" s="53">
        <v>0.89</v>
      </c>
      <c r="S72" s="53">
        <v>0.88</v>
      </c>
      <c r="T72" s="6">
        <v>0.87</v>
      </c>
      <c r="U72" s="6">
        <v>0.85</v>
      </c>
      <c r="V72" s="53">
        <v>0.84</v>
      </c>
      <c r="W72" s="53">
        <v>0.83</v>
      </c>
    </row>
    <row r="73" spans="1:23" ht="12.75">
      <c r="A73" s="1" t="s">
        <v>22</v>
      </c>
      <c r="B73" s="84">
        <v>7</v>
      </c>
      <c r="C73" s="84">
        <v>7</v>
      </c>
      <c r="D73" s="84">
        <v>7</v>
      </c>
      <c r="E73" s="84">
        <v>7</v>
      </c>
      <c r="G73" s="53">
        <v>13</v>
      </c>
      <c r="H73" s="6">
        <v>1</v>
      </c>
      <c r="I73" s="6">
        <v>0</v>
      </c>
      <c r="J73" s="6">
        <v>0</v>
      </c>
      <c r="K73" s="6">
        <v>0.97</v>
      </c>
      <c r="L73" s="6">
        <v>0</v>
      </c>
      <c r="M73" s="6">
        <v>0.925</v>
      </c>
      <c r="N73" s="6">
        <v>0.91</v>
      </c>
      <c r="O73" s="53">
        <v>0.91</v>
      </c>
      <c r="P73" s="53">
        <v>0.895</v>
      </c>
      <c r="Q73" s="53">
        <v>0.895</v>
      </c>
      <c r="R73" s="53">
        <v>0.89</v>
      </c>
      <c r="S73" s="53">
        <v>0.88</v>
      </c>
      <c r="T73" s="6">
        <v>0.87</v>
      </c>
      <c r="U73" s="6">
        <v>0.85</v>
      </c>
      <c r="V73" s="53">
        <v>0.84</v>
      </c>
      <c r="W73" s="53">
        <v>0.83</v>
      </c>
    </row>
    <row r="74" spans="1:23" ht="12.75">
      <c r="A74" s="45" t="s">
        <v>309</v>
      </c>
      <c r="B74" s="4">
        <v>15</v>
      </c>
      <c r="C74" s="4">
        <v>15</v>
      </c>
      <c r="D74" s="4">
        <v>15</v>
      </c>
      <c r="E74" s="4">
        <v>15</v>
      </c>
      <c r="G74" s="53">
        <v>14</v>
      </c>
      <c r="H74" s="6">
        <v>1</v>
      </c>
      <c r="I74" s="6">
        <v>0</v>
      </c>
      <c r="J74" s="6">
        <v>0</v>
      </c>
      <c r="K74" s="6">
        <v>0.97</v>
      </c>
      <c r="L74" s="6">
        <v>0.925</v>
      </c>
      <c r="M74" s="6">
        <v>0.925</v>
      </c>
      <c r="N74" s="6">
        <v>0.91</v>
      </c>
      <c r="O74" s="53">
        <v>0.91</v>
      </c>
      <c r="P74" s="53">
        <v>0.895</v>
      </c>
      <c r="Q74" s="53">
        <v>0.895</v>
      </c>
      <c r="R74" s="53">
        <v>0.89</v>
      </c>
      <c r="S74" s="53">
        <v>0.88</v>
      </c>
      <c r="T74" s="6">
        <v>0.87</v>
      </c>
      <c r="U74" s="6">
        <v>0.85</v>
      </c>
      <c r="V74" s="53">
        <v>0.84</v>
      </c>
      <c r="W74" s="53">
        <v>0.83</v>
      </c>
    </row>
    <row r="75" spans="1:23" ht="12.75">
      <c r="A75" s="13" t="s">
        <v>23</v>
      </c>
      <c r="B75" s="67"/>
      <c r="C75" s="67"/>
      <c r="D75" s="67"/>
      <c r="E75" s="67"/>
      <c r="G75" s="53">
        <v>15</v>
      </c>
      <c r="H75" s="6">
        <v>1</v>
      </c>
      <c r="I75" s="6">
        <v>0</v>
      </c>
      <c r="J75" s="6">
        <v>0.985</v>
      </c>
      <c r="K75" s="6">
        <v>0.97</v>
      </c>
      <c r="L75" s="6">
        <v>0.925</v>
      </c>
      <c r="M75" s="6">
        <v>0.925</v>
      </c>
      <c r="N75" s="6">
        <v>0.91</v>
      </c>
      <c r="O75" s="53">
        <v>0.91</v>
      </c>
      <c r="P75" s="53">
        <v>0.895</v>
      </c>
      <c r="Q75" s="53">
        <v>0.895</v>
      </c>
      <c r="R75" s="53">
        <v>0.89</v>
      </c>
      <c r="S75" s="53">
        <v>0.88</v>
      </c>
      <c r="T75" s="6">
        <v>0.87</v>
      </c>
      <c r="U75" s="6">
        <v>0.85</v>
      </c>
      <c r="V75" s="53">
        <v>0.84</v>
      </c>
      <c r="W75" s="53">
        <v>0.83</v>
      </c>
    </row>
    <row r="76" spans="1:23" ht="12.75">
      <c r="A76" s="1" t="s">
        <v>24</v>
      </c>
      <c r="B76" s="14">
        <v>0.01</v>
      </c>
      <c r="C76" s="14">
        <v>0.01</v>
      </c>
      <c r="D76" s="14">
        <v>0.01</v>
      </c>
      <c r="E76" s="14">
        <v>0.01</v>
      </c>
      <c r="G76" s="53">
        <v>16</v>
      </c>
      <c r="H76" s="6">
        <v>1</v>
      </c>
      <c r="I76" s="6">
        <v>1</v>
      </c>
      <c r="J76" s="6">
        <v>0.985</v>
      </c>
      <c r="K76" s="6">
        <v>0.97</v>
      </c>
      <c r="L76" s="6">
        <v>0.925</v>
      </c>
      <c r="M76" s="6">
        <v>0.925</v>
      </c>
      <c r="N76" s="6">
        <v>0.91</v>
      </c>
      <c r="O76" s="53">
        <v>0.91</v>
      </c>
      <c r="P76" s="53">
        <v>0.895</v>
      </c>
      <c r="Q76" s="53">
        <v>0.895</v>
      </c>
      <c r="R76" s="53">
        <v>0.89</v>
      </c>
      <c r="S76" s="53">
        <v>0.88</v>
      </c>
      <c r="T76" s="6">
        <v>0.87</v>
      </c>
      <c r="U76" s="6">
        <v>0.85</v>
      </c>
      <c r="V76" s="53">
        <v>0.84</v>
      </c>
      <c r="W76" s="53">
        <v>0.83</v>
      </c>
    </row>
    <row r="77" spans="1:23" ht="12.75">
      <c r="A77" s="1" t="s">
        <v>25</v>
      </c>
      <c r="B77" s="4">
        <v>400</v>
      </c>
      <c r="C77" s="4">
        <v>400</v>
      </c>
      <c r="D77" s="4">
        <v>400</v>
      </c>
      <c r="E77" s="4">
        <v>400</v>
      </c>
      <c r="H77" s="6"/>
      <c r="I77" s="6"/>
      <c r="J77" s="6"/>
      <c r="K77" s="6"/>
      <c r="O77" s="53"/>
      <c r="P77" s="53"/>
      <c r="T77" s="6"/>
      <c r="U77" s="6"/>
      <c r="V77" s="53"/>
      <c r="W77" s="53"/>
    </row>
    <row r="78" spans="1:23" ht="12.75">
      <c r="A78" s="13" t="s">
        <v>26</v>
      </c>
      <c r="B78" s="67"/>
      <c r="C78" s="67"/>
      <c r="D78" s="67"/>
      <c r="E78" s="67"/>
      <c r="G78" s="53" t="s">
        <v>219</v>
      </c>
      <c r="H78" s="6"/>
      <c r="I78" s="6"/>
      <c r="J78" s="6"/>
      <c r="K78" s="6"/>
      <c r="O78" s="53"/>
      <c r="P78" s="53"/>
      <c r="T78" s="6"/>
      <c r="U78" s="6"/>
      <c r="V78" s="53"/>
      <c r="W78" s="53"/>
    </row>
    <row r="79" spans="1:23" ht="12.75">
      <c r="A79" s="1" t="s">
        <v>27</v>
      </c>
      <c r="B79" s="4">
        <v>12</v>
      </c>
      <c r="C79" s="4">
        <v>12</v>
      </c>
      <c r="D79" s="4">
        <v>12</v>
      </c>
      <c r="E79" s="4">
        <v>12</v>
      </c>
      <c r="G79" s="53" t="s">
        <v>221</v>
      </c>
      <c r="H79" s="6" t="s">
        <v>202</v>
      </c>
      <c r="I79" s="6" t="s">
        <v>203</v>
      </c>
      <c r="J79" s="6" t="s">
        <v>204</v>
      </c>
      <c r="K79" s="6" t="s">
        <v>205</v>
      </c>
      <c r="L79" s="6" t="s">
        <v>206</v>
      </c>
      <c r="M79" s="6" t="s">
        <v>207</v>
      </c>
      <c r="N79" s="6" t="s">
        <v>208</v>
      </c>
      <c r="O79" s="53" t="s">
        <v>209</v>
      </c>
      <c r="P79" s="53" t="s">
        <v>210</v>
      </c>
      <c r="Q79" s="53" t="s">
        <v>211</v>
      </c>
      <c r="R79" s="53" t="s">
        <v>212</v>
      </c>
      <c r="S79" s="53" t="s">
        <v>213</v>
      </c>
      <c r="T79" s="6" t="s">
        <v>222</v>
      </c>
      <c r="U79" s="6" t="s">
        <v>215</v>
      </c>
      <c r="V79" s="53" t="s">
        <v>216</v>
      </c>
      <c r="W79" s="53" t="s">
        <v>217</v>
      </c>
    </row>
    <row r="80" spans="1:23" ht="12.75">
      <c r="A80" s="1" t="s">
        <v>28</v>
      </c>
      <c r="B80" s="16">
        <v>2.5</v>
      </c>
      <c r="C80" s="16">
        <v>2.5</v>
      </c>
      <c r="D80" s="16">
        <v>2.5</v>
      </c>
      <c r="E80" s="16">
        <v>2.5</v>
      </c>
      <c r="G80" s="53" t="s">
        <v>223</v>
      </c>
      <c r="H80" s="6" t="s">
        <v>224</v>
      </c>
      <c r="I80" s="6" t="s">
        <v>225</v>
      </c>
      <c r="J80" s="6" t="s">
        <v>226</v>
      </c>
      <c r="K80" s="6" t="s">
        <v>227</v>
      </c>
      <c r="L80" s="6" t="s">
        <v>228</v>
      </c>
      <c r="M80" s="6" t="s">
        <v>229</v>
      </c>
      <c r="N80" s="6" t="s">
        <v>230</v>
      </c>
      <c r="O80" s="65" t="s">
        <v>231</v>
      </c>
      <c r="P80" s="65" t="s">
        <v>232</v>
      </c>
      <c r="Q80" s="65" t="s">
        <v>233</v>
      </c>
      <c r="R80" s="65" t="s">
        <v>234</v>
      </c>
      <c r="S80" s="65" t="s">
        <v>235</v>
      </c>
      <c r="T80" s="6" t="s">
        <v>236</v>
      </c>
      <c r="U80" s="6" t="s">
        <v>237</v>
      </c>
      <c r="V80" s="65" t="s">
        <v>239</v>
      </c>
      <c r="W80" s="65" t="s">
        <v>238</v>
      </c>
    </row>
    <row r="81" spans="1:23" ht="12.75">
      <c r="A81" s="1" t="s">
        <v>29</v>
      </c>
      <c r="B81" s="4">
        <v>425</v>
      </c>
      <c r="C81" s="4">
        <v>425</v>
      </c>
      <c r="D81" s="4">
        <v>425</v>
      </c>
      <c r="E81" s="4">
        <v>425</v>
      </c>
      <c r="G81" s="53">
        <v>2</v>
      </c>
      <c r="H81" s="6">
        <v>1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53">
        <v>0.91</v>
      </c>
      <c r="P81" s="53">
        <v>0</v>
      </c>
      <c r="Q81" s="53">
        <v>0</v>
      </c>
      <c r="R81" s="53">
        <v>0</v>
      </c>
      <c r="S81" s="53">
        <v>0</v>
      </c>
      <c r="T81" s="6">
        <v>0</v>
      </c>
      <c r="U81" s="6">
        <v>0</v>
      </c>
      <c r="V81" s="53">
        <v>0</v>
      </c>
      <c r="W81" s="53">
        <v>0</v>
      </c>
    </row>
    <row r="82" spans="1:23" ht="12.75">
      <c r="A82" s="1" t="s">
        <v>30</v>
      </c>
      <c r="B82" s="17">
        <v>0.28</v>
      </c>
      <c r="C82" s="17">
        <v>0.28</v>
      </c>
      <c r="D82" s="17">
        <v>0.28</v>
      </c>
      <c r="E82" s="17">
        <v>0.28</v>
      </c>
      <c r="G82" s="53">
        <v>3</v>
      </c>
      <c r="H82" s="6">
        <v>1</v>
      </c>
      <c r="I82" s="6">
        <v>0</v>
      </c>
      <c r="J82" s="6">
        <v>0</v>
      </c>
      <c r="K82" s="6">
        <v>0</v>
      </c>
      <c r="L82" s="6">
        <v>0.925</v>
      </c>
      <c r="M82" s="6">
        <v>0</v>
      </c>
      <c r="N82" s="6">
        <v>0</v>
      </c>
      <c r="O82" s="53">
        <v>0</v>
      </c>
      <c r="P82" s="53">
        <v>0</v>
      </c>
      <c r="Q82" s="53">
        <v>0.895</v>
      </c>
      <c r="R82" s="53">
        <v>0</v>
      </c>
      <c r="S82" s="53">
        <v>0</v>
      </c>
      <c r="T82" s="6">
        <v>0</v>
      </c>
      <c r="U82" s="6">
        <v>0</v>
      </c>
      <c r="V82" s="53">
        <v>0</v>
      </c>
      <c r="W82" s="53">
        <v>0</v>
      </c>
    </row>
    <row r="83" spans="1:23" ht="12.75">
      <c r="A83" s="1" t="s">
        <v>31</v>
      </c>
      <c r="B83" s="18">
        <v>0.055</v>
      </c>
      <c r="C83" s="18">
        <v>0.055</v>
      </c>
      <c r="D83" s="18">
        <v>0.055</v>
      </c>
      <c r="E83" s="18">
        <v>0.055</v>
      </c>
      <c r="G83" s="53">
        <v>4</v>
      </c>
      <c r="H83" s="6">
        <v>1</v>
      </c>
      <c r="I83" s="6">
        <v>0</v>
      </c>
      <c r="J83" s="6">
        <v>0</v>
      </c>
      <c r="K83" s="6">
        <v>0.97</v>
      </c>
      <c r="L83" s="6">
        <v>0</v>
      </c>
      <c r="M83" s="6">
        <v>0</v>
      </c>
      <c r="N83" s="6">
        <v>0</v>
      </c>
      <c r="O83" s="53">
        <v>0.91</v>
      </c>
      <c r="P83" s="53">
        <v>0</v>
      </c>
      <c r="Q83" s="53">
        <v>0</v>
      </c>
      <c r="R83" s="53">
        <v>0</v>
      </c>
      <c r="S83" s="53">
        <v>0.88</v>
      </c>
      <c r="T83" s="6">
        <v>0</v>
      </c>
      <c r="U83" s="6">
        <v>0</v>
      </c>
      <c r="V83" s="53">
        <v>0</v>
      </c>
      <c r="W83" s="53">
        <v>0</v>
      </c>
    </row>
    <row r="84" spans="1:23" ht="12.75">
      <c r="A84" s="1" t="s">
        <v>32</v>
      </c>
      <c r="B84" s="18">
        <v>0.056</v>
      </c>
      <c r="C84" s="18">
        <v>0.056</v>
      </c>
      <c r="D84" s="18">
        <v>0.056</v>
      </c>
      <c r="E84" s="18">
        <v>0.056</v>
      </c>
      <c r="G84" s="53">
        <v>5</v>
      </c>
      <c r="H84" s="6">
        <v>1</v>
      </c>
      <c r="I84" s="6">
        <v>0</v>
      </c>
      <c r="J84" s="6">
        <v>0.985</v>
      </c>
      <c r="K84" s="6">
        <v>0</v>
      </c>
      <c r="L84" s="6">
        <v>0</v>
      </c>
      <c r="M84" s="6">
        <v>0.925</v>
      </c>
      <c r="N84" s="6">
        <v>0</v>
      </c>
      <c r="O84" s="53">
        <v>0</v>
      </c>
      <c r="P84" s="53">
        <v>0.895</v>
      </c>
      <c r="Q84" s="53">
        <v>0</v>
      </c>
      <c r="R84" s="53">
        <v>0</v>
      </c>
      <c r="S84" s="53">
        <v>0.88</v>
      </c>
      <c r="T84" s="6">
        <v>0</v>
      </c>
      <c r="U84" s="6">
        <v>0</v>
      </c>
      <c r="V84" s="53">
        <v>0</v>
      </c>
      <c r="W84" s="53">
        <v>0</v>
      </c>
    </row>
    <row r="85" spans="1:23" ht="12.75">
      <c r="A85" s="1" t="s">
        <v>33</v>
      </c>
      <c r="B85" s="18">
        <v>0.055</v>
      </c>
      <c r="C85" s="18">
        <v>0.055</v>
      </c>
      <c r="D85" s="18">
        <v>0.055</v>
      </c>
      <c r="E85" s="18">
        <v>0.055</v>
      </c>
      <c r="G85" s="53">
        <v>6</v>
      </c>
      <c r="H85" s="6">
        <v>1</v>
      </c>
      <c r="I85" s="6">
        <v>0</v>
      </c>
      <c r="J85" s="6">
        <v>0.985</v>
      </c>
      <c r="K85" s="6">
        <v>0</v>
      </c>
      <c r="L85" s="6">
        <v>0.925</v>
      </c>
      <c r="M85" s="6">
        <v>0</v>
      </c>
      <c r="N85" s="6">
        <v>0.91</v>
      </c>
      <c r="O85" s="53">
        <v>0</v>
      </c>
      <c r="P85" s="53">
        <v>0.895</v>
      </c>
      <c r="Q85" s="53">
        <v>0</v>
      </c>
      <c r="R85" s="53">
        <v>0.89</v>
      </c>
      <c r="S85" s="53">
        <v>0</v>
      </c>
      <c r="T85" s="6">
        <v>0</v>
      </c>
      <c r="U85" s="6">
        <v>0</v>
      </c>
      <c r="V85" s="53">
        <v>0</v>
      </c>
      <c r="W85" s="53">
        <v>0</v>
      </c>
    </row>
    <row r="86" spans="1:23" ht="12.75">
      <c r="A86" s="13" t="s">
        <v>34</v>
      </c>
      <c r="B86" s="67"/>
      <c r="C86" s="67"/>
      <c r="D86" s="67"/>
      <c r="E86" s="67"/>
      <c r="G86" s="53">
        <v>7</v>
      </c>
      <c r="H86" s="6">
        <v>1</v>
      </c>
      <c r="I86" s="6">
        <v>0</v>
      </c>
      <c r="J86" s="6">
        <v>0.985</v>
      </c>
      <c r="K86" s="6">
        <v>0</v>
      </c>
      <c r="L86" s="6">
        <v>0.925</v>
      </c>
      <c r="M86" s="6">
        <v>0</v>
      </c>
      <c r="N86" s="6">
        <v>0.91</v>
      </c>
      <c r="O86" s="53">
        <v>0</v>
      </c>
      <c r="P86" s="53">
        <v>0.895</v>
      </c>
      <c r="Q86" s="53">
        <v>0</v>
      </c>
      <c r="R86" s="53">
        <v>0.89</v>
      </c>
      <c r="S86" s="53">
        <v>0</v>
      </c>
      <c r="T86" s="6">
        <v>0.87</v>
      </c>
      <c r="U86" s="6">
        <v>0</v>
      </c>
      <c r="V86" s="53">
        <v>0</v>
      </c>
      <c r="W86" s="53">
        <v>0</v>
      </c>
    </row>
    <row r="87" spans="1:23" ht="12.75">
      <c r="A87" s="1" t="s">
        <v>35</v>
      </c>
      <c r="B87" s="4">
        <v>5</v>
      </c>
      <c r="C87" s="4">
        <v>5</v>
      </c>
      <c r="D87" s="4">
        <v>5</v>
      </c>
      <c r="E87" s="4">
        <v>5</v>
      </c>
      <c r="G87" s="53">
        <v>8</v>
      </c>
      <c r="H87" s="6">
        <v>1</v>
      </c>
      <c r="I87" s="6">
        <v>0</v>
      </c>
      <c r="J87" s="6">
        <v>0.985</v>
      </c>
      <c r="K87" s="6">
        <v>0</v>
      </c>
      <c r="L87" s="6">
        <v>0.925</v>
      </c>
      <c r="M87" s="6">
        <v>0</v>
      </c>
      <c r="N87" s="6">
        <v>0.91</v>
      </c>
      <c r="O87" s="53">
        <v>0</v>
      </c>
      <c r="P87" s="53">
        <v>0.895</v>
      </c>
      <c r="Q87" s="53">
        <v>0</v>
      </c>
      <c r="R87" s="53">
        <v>0.89</v>
      </c>
      <c r="S87" s="53">
        <v>0</v>
      </c>
      <c r="T87" s="6">
        <v>0.87</v>
      </c>
      <c r="U87" s="6">
        <v>0</v>
      </c>
      <c r="V87" s="53">
        <v>0.84</v>
      </c>
      <c r="W87" s="53">
        <v>0</v>
      </c>
    </row>
    <row r="88" spans="1:23" ht="12.75">
      <c r="A88" s="1" t="s">
        <v>36</v>
      </c>
      <c r="B88" s="4">
        <v>5</v>
      </c>
      <c r="C88" s="4">
        <v>5</v>
      </c>
      <c r="D88" s="4">
        <v>5</v>
      </c>
      <c r="E88" s="4">
        <v>5</v>
      </c>
      <c r="G88" s="53">
        <v>9</v>
      </c>
      <c r="H88" s="6">
        <v>1</v>
      </c>
      <c r="I88" s="6">
        <v>0</v>
      </c>
      <c r="J88" s="6">
        <v>0</v>
      </c>
      <c r="K88" s="6">
        <v>0.97</v>
      </c>
      <c r="L88" s="6">
        <v>0</v>
      </c>
      <c r="M88" s="6">
        <v>0</v>
      </c>
      <c r="N88" s="6">
        <v>0.91</v>
      </c>
      <c r="O88" s="53">
        <v>0</v>
      </c>
      <c r="P88" s="53">
        <v>0</v>
      </c>
      <c r="Q88" s="53">
        <v>0.895</v>
      </c>
      <c r="R88" s="53">
        <v>0.89</v>
      </c>
      <c r="S88" s="53">
        <v>0.88</v>
      </c>
      <c r="T88" s="6">
        <v>0.87</v>
      </c>
      <c r="U88" s="6">
        <v>0.85</v>
      </c>
      <c r="V88" s="53">
        <v>0.84</v>
      </c>
      <c r="W88" s="53">
        <v>0</v>
      </c>
    </row>
    <row r="89" spans="1:23" ht="12.75">
      <c r="A89" s="1" t="s">
        <v>37</v>
      </c>
      <c r="B89" s="4">
        <v>13</v>
      </c>
      <c r="C89" s="4">
        <v>13</v>
      </c>
      <c r="D89" s="4">
        <v>13</v>
      </c>
      <c r="E89" s="4">
        <v>13</v>
      </c>
      <c r="G89" s="53">
        <v>10</v>
      </c>
      <c r="H89" s="6">
        <v>1</v>
      </c>
      <c r="I89" s="6">
        <v>0</v>
      </c>
      <c r="J89" s="6">
        <v>0</v>
      </c>
      <c r="K89" s="6">
        <v>0.97</v>
      </c>
      <c r="L89" s="6">
        <v>0</v>
      </c>
      <c r="M89" s="6">
        <v>0</v>
      </c>
      <c r="N89" s="6">
        <v>0.91</v>
      </c>
      <c r="O89" s="53">
        <v>0</v>
      </c>
      <c r="P89" s="53">
        <v>0</v>
      </c>
      <c r="Q89" s="53">
        <v>0.895</v>
      </c>
      <c r="R89" s="53">
        <v>0.89</v>
      </c>
      <c r="S89" s="53">
        <v>0.88</v>
      </c>
      <c r="T89" s="6">
        <v>0.87</v>
      </c>
      <c r="U89" s="6">
        <v>0.85</v>
      </c>
      <c r="V89" s="53">
        <v>0.84</v>
      </c>
      <c r="W89" s="53">
        <v>0.83</v>
      </c>
    </row>
    <row r="90" spans="1:23" ht="12.75">
      <c r="A90" s="1" t="s">
        <v>38</v>
      </c>
      <c r="B90" s="4">
        <v>5</v>
      </c>
      <c r="C90" s="4">
        <v>5</v>
      </c>
      <c r="D90" s="4">
        <v>5</v>
      </c>
      <c r="E90" s="4">
        <v>5</v>
      </c>
      <c r="G90" s="53">
        <v>11</v>
      </c>
      <c r="H90" s="6">
        <v>1</v>
      </c>
      <c r="I90" s="6">
        <v>0</v>
      </c>
      <c r="J90" s="6">
        <v>0</v>
      </c>
      <c r="K90" s="6">
        <v>0.97</v>
      </c>
      <c r="L90" s="6">
        <v>0</v>
      </c>
      <c r="M90" s="6">
        <v>0</v>
      </c>
      <c r="N90" s="6">
        <v>0.91</v>
      </c>
      <c r="O90" s="53">
        <v>0</v>
      </c>
      <c r="P90" s="53">
        <v>0.895</v>
      </c>
      <c r="Q90" s="53">
        <v>0.895</v>
      </c>
      <c r="R90" s="53">
        <v>0.89</v>
      </c>
      <c r="S90" s="53">
        <v>0.88</v>
      </c>
      <c r="T90" s="6">
        <v>0.87</v>
      </c>
      <c r="U90" s="6">
        <v>0.85</v>
      </c>
      <c r="V90" s="53">
        <v>0.84</v>
      </c>
      <c r="W90" s="53">
        <v>0.83</v>
      </c>
    </row>
    <row r="91" spans="1:23" ht="12.75">
      <c r="A91" s="9"/>
      <c r="B91" s="10"/>
      <c r="C91" s="10"/>
      <c r="D91" s="10"/>
      <c r="E91" s="10"/>
      <c r="G91" s="53">
        <v>13</v>
      </c>
      <c r="H91" s="6">
        <v>1</v>
      </c>
      <c r="I91" s="6">
        <v>0</v>
      </c>
      <c r="J91" s="6">
        <v>0</v>
      </c>
      <c r="K91" s="6">
        <v>0.97</v>
      </c>
      <c r="L91" s="6">
        <v>0</v>
      </c>
      <c r="M91" s="6">
        <v>0.925</v>
      </c>
      <c r="N91" s="6">
        <v>0.91</v>
      </c>
      <c r="O91" s="53">
        <v>0.91</v>
      </c>
      <c r="P91" s="53">
        <v>0.895</v>
      </c>
      <c r="Q91" s="53">
        <v>0.895</v>
      </c>
      <c r="R91" s="53">
        <v>0.89</v>
      </c>
      <c r="S91" s="53">
        <v>0.88</v>
      </c>
      <c r="T91" s="6">
        <v>0.87</v>
      </c>
      <c r="U91" s="6">
        <v>0.85</v>
      </c>
      <c r="V91" s="53">
        <v>0.84</v>
      </c>
      <c r="W91" s="53">
        <v>0.83</v>
      </c>
    </row>
    <row r="92" spans="1:23" ht="12.75">
      <c r="A92" s="13" t="s">
        <v>39</v>
      </c>
      <c r="B92" s="6"/>
      <c r="C92" s="6"/>
      <c r="D92" s="8"/>
      <c r="E92" s="8"/>
      <c r="G92" s="53">
        <v>14</v>
      </c>
      <c r="H92" s="6">
        <v>1</v>
      </c>
      <c r="I92" s="6">
        <v>0</v>
      </c>
      <c r="J92" s="6">
        <v>0</v>
      </c>
      <c r="K92" s="6">
        <v>0.97</v>
      </c>
      <c r="L92" s="6">
        <v>0.925</v>
      </c>
      <c r="M92" s="6">
        <v>0.925</v>
      </c>
      <c r="N92" s="6">
        <v>0.91</v>
      </c>
      <c r="O92" s="53">
        <v>0.91</v>
      </c>
      <c r="P92" s="53">
        <v>0.895</v>
      </c>
      <c r="Q92" s="53">
        <v>0.895</v>
      </c>
      <c r="R92" s="53">
        <v>0.89</v>
      </c>
      <c r="S92" s="53">
        <v>0.88</v>
      </c>
      <c r="T92" s="6">
        <v>0.87</v>
      </c>
      <c r="U92" s="6">
        <v>0.85</v>
      </c>
      <c r="V92" s="53">
        <v>0.84</v>
      </c>
      <c r="W92" s="53">
        <v>0.83</v>
      </c>
    </row>
    <row r="93" spans="1:23" ht="12.75">
      <c r="A93" s="1" t="s">
        <v>40</v>
      </c>
      <c r="B93" s="15">
        <v>550</v>
      </c>
      <c r="C93" s="15">
        <v>550</v>
      </c>
      <c r="D93" s="15">
        <v>550</v>
      </c>
      <c r="E93" s="15">
        <v>550</v>
      </c>
      <c r="G93" s="53">
        <v>15</v>
      </c>
      <c r="H93" s="6">
        <v>1</v>
      </c>
      <c r="I93" s="6">
        <v>0</v>
      </c>
      <c r="J93" s="6">
        <v>0.985</v>
      </c>
      <c r="K93" s="6">
        <v>0.97</v>
      </c>
      <c r="L93" s="6">
        <v>0.925</v>
      </c>
      <c r="M93" s="6">
        <v>0.925</v>
      </c>
      <c r="N93" s="6">
        <v>0.91</v>
      </c>
      <c r="O93" s="53">
        <v>0.91</v>
      </c>
      <c r="P93" s="53">
        <v>0.895</v>
      </c>
      <c r="Q93" s="53">
        <v>0.895</v>
      </c>
      <c r="R93" s="53">
        <v>0.89</v>
      </c>
      <c r="S93" s="53">
        <v>0.88</v>
      </c>
      <c r="T93" s="6">
        <v>0.87</v>
      </c>
      <c r="U93" s="6">
        <v>0.85</v>
      </c>
      <c r="V93" s="53">
        <v>0.84</v>
      </c>
      <c r="W93" s="53">
        <v>0.83</v>
      </c>
    </row>
    <row r="94" spans="1:23" ht="12.75">
      <c r="A94" s="1" t="s">
        <v>41</v>
      </c>
      <c r="B94" s="15">
        <v>1700</v>
      </c>
      <c r="C94" s="15">
        <v>1700</v>
      </c>
      <c r="D94" s="15">
        <v>1700</v>
      </c>
      <c r="E94" s="15">
        <v>1700</v>
      </c>
      <c r="G94" s="53">
        <v>16</v>
      </c>
      <c r="H94" s="6">
        <v>1</v>
      </c>
      <c r="I94" s="6">
        <v>1</v>
      </c>
      <c r="J94" s="6">
        <v>0.985</v>
      </c>
      <c r="K94" s="6">
        <v>0.97</v>
      </c>
      <c r="L94" s="6">
        <v>0.925</v>
      </c>
      <c r="M94" s="53">
        <v>0.925</v>
      </c>
      <c r="N94" s="53">
        <v>0.91</v>
      </c>
      <c r="O94" s="53">
        <v>0.91</v>
      </c>
      <c r="P94" s="53">
        <v>0.895</v>
      </c>
      <c r="Q94" s="53">
        <v>0.895</v>
      </c>
      <c r="R94" s="6">
        <v>0.89</v>
      </c>
      <c r="S94" s="6">
        <v>0.88</v>
      </c>
      <c r="T94" s="53">
        <v>0.87</v>
      </c>
      <c r="U94" s="53">
        <v>0.85</v>
      </c>
      <c r="V94" s="53">
        <v>0.84</v>
      </c>
      <c r="W94" s="53">
        <v>0.83</v>
      </c>
    </row>
    <row r="95" spans="1:23" ht="12.75">
      <c r="A95" s="1" t="s">
        <v>42</v>
      </c>
      <c r="B95" s="84">
        <v>168</v>
      </c>
      <c r="C95" s="84">
        <v>168</v>
      </c>
      <c r="D95" s="84">
        <v>168</v>
      </c>
      <c r="E95" s="84">
        <v>168</v>
      </c>
      <c r="H95" s="6"/>
      <c r="I95" s="6"/>
      <c r="J95" s="6"/>
      <c r="K95" s="6"/>
      <c r="M95" s="53"/>
      <c r="N95" s="53"/>
      <c r="O95" s="53"/>
      <c r="P95" s="53"/>
      <c r="R95" s="6"/>
      <c r="S95" s="6"/>
      <c r="V95" s="53"/>
      <c r="W95" s="53"/>
    </row>
    <row r="96" spans="1:23" ht="12.75">
      <c r="A96" s="1" t="s">
        <v>43</v>
      </c>
      <c r="B96" s="15">
        <v>250</v>
      </c>
      <c r="C96" s="15">
        <v>250</v>
      </c>
      <c r="D96" s="15">
        <v>250</v>
      </c>
      <c r="E96" s="15">
        <v>250</v>
      </c>
      <c r="G96" s="53" t="s">
        <v>220</v>
      </c>
      <c r="H96" s="6"/>
      <c r="I96" s="6"/>
      <c r="J96" s="6"/>
      <c r="K96" s="6"/>
      <c r="M96" s="53"/>
      <c r="N96" s="53"/>
      <c r="O96" s="53"/>
      <c r="P96" s="53"/>
      <c r="R96" s="6"/>
      <c r="S96" s="6"/>
      <c r="V96" s="53"/>
      <c r="W96" s="53"/>
    </row>
    <row r="97" spans="1:23" ht="12.75">
      <c r="A97" s="45" t="s">
        <v>278</v>
      </c>
      <c r="B97" s="15">
        <v>190</v>
      </c>
      <c r="C97" s="15">
        <v>190</v>
      </c>
      <c r="D97" s="15">
        <v>190</v>
      </c>
      <c r="E97" s="15">
        <v>190</v>
      </c>
      <c r="G97" s="53" t="s">
        <v>221</v>
      </c>
      <c r="H97" s="6" t="s">
        <v>202</v>
      </c>
      <c r="I97" s="6" t="s">
        <v>203</v>
      </c>
      <c r="J97" s="6" t="s">
        <v>204</v>
      </c>
      <c r="K97" s="6" t="s">
        <v>205</v>
      </c>
      <c r="L97" s="6" t="s">
        <v>206</v>
      </c>
      <c r="M97" s="53" t="s">
        <v>207</v>
      </c>
      <c r="N97" s="53" t="s">
        <v>208</v>
      </c>
      <c r="O97" s="53" t="s">
        <v>209</v>
      </c>
      <c r="P97" s="53" t="s">
        <v>210</v>
      </c>
      <c r="Q97" s="53" t="s">
        <v>211</v>
      </c>
      <c r="R97" s="6" t="s">
        <v>212</v>
      </c>
      <c r="S97" s="6" t="s">
        <v>213</v>
      </c>
      <c r="T97" s="53" t="s">
        <v>222</v>
      </c>
      <c r="U97" s="53" t="s">
        <v>215</v>
      </c>
      <c r="V97" s="53" t="s">
        <v>216</v>
      </c>
      <c r="W97" s="53" t="s">
        <v>217</v>
      </c>
    </row>
    <row r="98" spans="1:23" ht="12.75">
      <c r="A98" s="1" t="s">
        <v>44</v>
      </c>
      <c r="B98" s="19">
        <v>400</v>
      </c>
      <c r="C98" s="19">
        <v>400</v>
      </c>
      <c r="D98" s="19">
        <v>0</v>
      </c>
      <c r="E98" s="19">
        <v>0</v>
      </c>
      <c r="G98" s="53" t="s">
        <v>223</v>
      </c>
      <c r="H98" s="6" t="s">
        <v>224</v>
      </c>
      <c r="I98" s="6" t="s">
        <v>225</v>
      </c>
      <c r="J98" s="6" t="s">
        <v>226</v>
      </c>
      <c r="K98" s="6" t="s">
        <v>227</v>
      </c>
      <c r="L98" s="6" t="s">
        <v>228</v>
      </c>
      <c r="M98" s="6" t="s">
        <v>229</v>
      </c>
      <c r="N98" s="6" t="s">
        <v>230</v>
      </c>
      <c r="O98" s="65" t="s">
        <v>231</v>
      </c>
      <c r="P98" s="65" t="s">
        <v>232</v>
      </c>
      <c r="Q98" s="65" t="s">
        <v>233</v>
      </c>
      <c r="R98" s="65" t="s">
        <v>234</v>
      </c>
      <c r="S98" s="65" t="s">
        <v>235</v>
      </c>
      <c r="T98" s="6" t="s">
        <v>236</v>
      </c>
      <c r="U98" s="6" t="s">
        <v>237</v>
      </c>
      <c r="V98" s="65" t="s">
        <v>239</v>
      </c>
      <c r="W98" s="65" t="s">
        <v>238</v>
      </c>
    </row>
    <row r="99" spans="1:23" ht="12.75">
      <c r="A99" s="1" t="s">
        <v>45</v>
      </c>
      <c r="B99" s="19">
        <v>550</v>
      </c>
      <c r="C99" s="19">
        <v>550</v>
      </c>
      <c r="D99" s="19">
        <v>550</v>
      </c>
      <c r="E99" s="19">
        <v>550</v>
      </c>
      <c r="G99" s="53">
        <v>2</v>
      </c>
      <c r="H99" s="6">
        <v>1</v>
      </c>
      <c r="I99" s="6">
        <v>0</v>
      </c>
      <c r="J99" s="6">
        <v>0</v>
      </c>
      <c r="K99" s="6">
        <v>0</v>
      </c>
      <c r="L99" s="6">
        <v>0</v>
      </c>
      <c r="M99" s="53">
        <v>0</v>
      </c>
      <c r="N99" s="53">
        <v>0</v>
      </c>
      <c r="O99" s="53">
        <v>0.91</v>
      </c>
      <c r="P99" s="53">
        <v>0</v>
      </c>
      <c r="Q99" s="53">
        <v>0</v>
      </c>
      <c r="R99" s="6">
        <v>0</v>
      </c>
      <c r="S99" s="6">
        <v>0</v>
      </c>
      <c r="T99" s="53">
        <v>0</v>
      </c>
      <c r="U99" s="53">
        <v>0</v>
      </c>
      <c r="V99" s="53">
        <v>0</v>
      </c>
      <c r="W99" s="53">
        <v>0</v>
      </c>
    </row>
    <row r="100" spans="1:23" ht="12.75">
      <c r="A100" s="1" t="s">
        <v>46</v>
      </c>
      <c r="B100" s="4">
        <v>15</v>
      </c>
      <c r="C100" s="4">
        <v>15</v>
      </c>
      <c r="D100" s="4">
        <v>15</v>
      </c>
      <c r="E100" s="4">
        <v>15</v>
      </c>
      <c r="G100" s="53">
        <v>3</v>
      </c>
      <c r="H100" s="6">
        <v>1</v>
      </c>
      <c r="I100" s="6">
        <v>0</v>
      </c>
      <c r="J100" s="6">
        <v>0</v>
      </c>
      <c r="K100" s="6">
        <v>0</v>
      </c>
      <c r="L100" s="6">
        <v>0.925</v>
      </c>
      <c r="M100" s="53">
        <v>0</v>
      </c>
      <c r="N100" s="53">
        <v>0</v>
      </c>
      <c r="O100" s="53">
        <v>0</v>
      </c>
      <c r="P100" s="53">
        <v>0</v>
      </c>
      <c r="Q100" s="53">
        <v>0.895</v>
      </c>
      <c r="R100" s="6">
        <v>0</v>
      </c>
      <c r="S100" s="6">
        <v>0</v>
      </c>
      <c r="T100" s="53">
        <v>0</v>
      </c>
      <c r="U100" s="53">
        <v>0</v>
      </c>
      <c r="V100" s="53">
        <v>0</v>
      </c>
      <c r="W100" s="53">
        <v>0</v>
      </c>
    </row>
    <row r="101" spans="1:23" ht="12.75">
      <c r="A101" s="1" t="s">
        <v>47</v>
      </c>
      <c r="B101" s="20">
        <v>0.8</v>
      </c>
      <c r="C101" s="20">
        <v>0.8</v>
      </c>
      <c r="D101" s="20">
        <v>0.8</v>
      </c>
      <c r="E101" s="20">
        <v>0.8</v>
      </c>
      <c r="G101" s="53">
        <v>4</v>
      </c>
      <c r="H101" s="6">
        <v>1</v>
      </c>
      <c r="I101" s="6">
        <v>0</v>
      </c>
      <c r="J101" s="6">
        <v>0</v>
      </c>
      <c r="K101" s="6">
        <v>0.97</v>
      </c>
      <c r="L101" s="6">
        <v>0</v>
      </c>
      <c r="M101" s="53">
        <v>0</v>
      </c>
      <c r="N101" s="53">
        <v>0</v>
      </c>
      <c r="O101" s="53">
        <v>0.91</v>
      </c>
      <c r="P101" s="53">
        <v>0</v>
      </c>
      <c r="Q101" s="53">
        <v>0</v>
      </c>
      <c r="R101" s="6">
        <v>0</v>
      </c>
      <c r="S101" s="6">
        <v>0.88</v>
      </c>
      <c r="T101" s="53">
        <v>0</v>
      </c>
      <c r="U101" s="53">
        <v>0</v>
      </c>
      <c r="V101" s="53">
        <v>0</v>
      </c>
      <c r="W101" s="53">
        <v>0</v>
      </c>
    </row>
    <row r="102" spans="1:23" ht="12.75">
      <c r="A102" s="1" t="s">
        <v>48</v>
      </c>
      <c r="B102" s="14">
        <v>0.07</v>
      </c>
      <c r="C102" s="14">
        <v>0.07</v>
      </c>
      <c r="D102" s="14">
        <v>0.07</v>
      </c>
      <c r="E102" s="14">
        <v>0.07</v>
      </c>
      <c r="G102" s="53">
        <v>5</v>
      </c>
      <c r="H102" s="6">
        <v>1</v>
      </c>
      <c r="I102" s="6">
        <v>0</v>
      </c>
      <c r="J102" s="6">
        <v>0.985</v>
      </c>
      <c r="K102" s="6">
        <v>0</v>
      </c>
      <c r="L102" s="6">
        <v>0</v>
      </c>
      <c r="M102" s="53">
        <v>0.925</v>
      </c>
      <c r="N102" s="53">
        <v>0</v>
      </c>
      <c r="O102" s="53">
        <v>0</v>
      </c>
      <c r="P102" s="53">
        <v>0.895</v>
      </c>
      <c r="Q102" s="53">
        <v>0</v>
      </c>
      <c r="R102" s="6">
        <v>0</v>
      </c>
      <c r="S102" s="6">
        <v>0.88</v>
      </c>
      <c r="T102" s="53">
        <v>0</v>
      </c>
      <c r="U102" s="53">
        <v>0</v>
      </c>
      <c r="V102" s="53">
        <v>0</v>
      </c>
      <c r="W102" s="53">
        <v>0</v>
      </c>
    </row>
    <row r="103" spans="1:23" ht="12.75">
      <c r="A103" s="1" t="s">
        <v>49</v>
      </c>
      <c r="B103" s="4">
        <v>15</v>
      </c>
      <c r="C103" s="4">
        <v>15</v>
      </c>
      <c r="D103" s="4">
        <v>15</v>
      </c>
      <c r="E103" s="4">
        <v>15</v>
      </c>
      <c r="G103" s="53">
        <v>6</v>
      </c>
      <c r="H103" s="6">
        <v>1</v>
      </c>
      <c r="I103" s="6">
        <v>0</v>
      </c>
      <c r="J103" s="6">
        <v>0.985</v>
      </c>
      <c r="K103" s="6">
        <v>0</v>
      </c>
      <c r="L103" s="6">
        <v>0.925</v>
      </c>
      <c r="M103" s="53">
        <v>0</v>
      </c>
      <c r="N103" s="53">
        <v>0.91</v>
      </c>
      <c r="O103" s="53">
        <v>0</v>
      </c>
      <c r="P103" s="53">
        <v>0.895</v>
      </c>
      <c r="Q103" s="53">
        <v>0</v>
      </c>
      <c r="R103" s="6">
        <v>0.89</v>
      </c>
      <c r="S103" s="6">
        <v>0</v>
      </c>
      <c r="T103" s="53">
        <v>0</v>
      </c>
      <c r="U103" s="53">
        <v>0</v>
      </c>
      <c r="V103" s="53">
        <v>0</v>
      </c>
      <c r="W103" s="53">
        <v>0</v>
      </c>
    </row>
    <row r="104" spans="1:23" ht="12.75">
      <c r="A104" s="1" t="s">
        <v>50</v>
      </c>
      <c r="B104" s="14">
        <v>0.005</v>
      </c>
      <c r="C104" s="14">
        <v>0.005</v>
      </c>
      <c r="D104" s="14">
        <v>0.005</v>
      </c>
      <c r="E104" s="14">
        <v>0.005</v>
      </c>
      <c r="G104" s="53">
        <v>7</v>
      </c>
      <c r="H104" s="6">
        <v>1</v>
      </c>
      <c r="I104" s="6">
        <v>0</v>
      </c>
      <c r="J104" s="6">
        <v>0.985</v>
      </c>
      <c r="K104" s="6">
        <v>0</v>
      </c>
      <c r="L104" s="6">
        <v>0.925</v>
      </c>
      <c r="M104" s="53">
        <v>0</v>
      </c>
      <c r="N104" s="53">
        <v>0.91</v>
      </c>
      <c r="O104" s="53">
        <v>0</v>
      </c>
      <c r="P104" s="53">
        <v>0.895</v>
      </c>
      <c r="Q104" s="53">
        <v>0</v>
      </c>
      <c r="R104" s="6">
        <v>0.89</v>
      </c>
      <c r="S104" s="6">
        <v>0</v>
      </c>
      <c r="T104" s="53">
        <v>0.87</v>
      </c>
      <c r="U104" s="53">
        <v>0</v>
      </c>
      <c r="V104" s="53">
        <v>0</v>
      </c>
      <c r="W104" s="53">
        <v>0</v>
      </c>
    </row>
    <row r="105" spans="1:23" ht="12.75">
      <c r="A105" s="1" t="s">
        <v>51</v>
      </c>
      <c r="B105" s="14">
        <v>0.01</v>
      </c>
      <c r="C105" s="14">
        <v>0.01</v>
      </c>
      <c r="D105" s="14">
        <v>0.01</v>
      </c>
      <c r="E105" s="14">
        <v>0.01</v>
      </c>
      <c r="G105" s="53">
        <v>8</v>
      </c>
      <c r="H105" s="6">
        <v>1</v>
      </c>
      <c r="I105" s="6">
        <v>0</v>
      </c>
      <c r="J105" s="6">
        <v>0.985</v>
      </c>
      <c r="K105" s="6">
        <v>0</v>
      </c>
      <c r="L105" s="6">
        <v>0.925</v>
      </c>
      <c r="M105" s="53">
        <v>0</v>
      </c>
      <c r="N105" s="53">
        <v>0.91</v>
      </c>
      <c r="O105" s="53">
        <v>0</v>
      </c>
      <c r="P105" s="53">
        <v>0.895</v>
      </c>
      <c r="Q105" s="53">
        <v>0</v>
      </c>
      <c r="R105" s="6">
        <v>0.89</v>
      </c>
      <c r="S105" s="6">
        <v>0</v>
      </c>
      <c r="T105" s="53">
        <v>0.87</v>
      </c>
      <c r="U105" s="53">
        <v>0</v>
      </c>
      <c r="V105" s="53">
        <v>0.84</v>
      </c>
      <c r="W105" s="53">
        <v>0</v>
      </c>
    </row>
    <row r="106" spans="1:23" ht="12.75">
      <c r="A106" s="45" t="s">
        <v>279</v>
      </c>
      <c r="B106" s="14">
        <v>0.01</v>
      </c>
      <c r="C106" s="14">
        <v>0.01</v>
      </c>
      <c r="D106" s="14">
        <v>0.01</v>
      </c>
      <c r="E106" s="14">
        <v>0.01</v>
      </c>
      <c r="G106" s="53">
        <v>9</v>
      </c>
      <c r="H106" s="6">
        <v>1</v>
      </c>
      <c r="I106" s="6">
        <v>0</v>
      </c>
      <c r="J106" s="6">
        <v>0</v>
      </c>
      <c r="K106" s="6">
        <v>0.97</v>
      </c>
      <c r="L106" s="6">
        <v>0</v>
      </c>
      <c r="M106" s="53">
        <v>0</v>
      </c>
      <c r="N106" s="53">
        <v>0.91</v>
      </c>
      <c r="O106" s="53">
        <v>0</v>
      </c>
      <c r="P106" s="53">
        <v>0</v>
      </c>
      <c r="Q106" s="53">
        <v>0.895</v>
      </c>
      <c r="R106" s="6">
        <v>0.89</v>
      </c>
      <c r="S106" s="6">
        <v>0.88</v>
      </c>
      <c r="T106" s="53">
        <v>0.87</v>
      </c>
      <c r="U106" s="53">
        <v>0.85</v>
      </c>
      <c r="V106" s="53">
        <v>0.84</v>
      </c>
      <c r="W106" s="53">
        <v>0</v>
      </c>
    </row>
    <row r="107" spans="1:23" ht="12.75">
      <c r="A107" s="13" t="s">
        <v>52</v>
      </c>
      <c r="B107" s="6"/>
      <c r="C107" s="6"/>
      <c r="D107" s="6"/>
      <c r="E107" s="6"/>
      <c r="G107" s="53">
        <v>10</v>
      </c>
      <c r="H107" s="6">
        <v>1</v>
      </c>
      <c r="I107" s="6">
        <v>0</v>
      </c>
      <c r="J107" s="6">
        <v>0</v>
      </c>
      <c r="K107" s="6">
        <v>0.97</v>
      </c>
      <c r="L107" s="6">
        <v>0</v>
      </c>
      <c r="M107" s="53">
        <v>0</v>
      </c>
      <c r="N107" s="53">
        <v>0.91</v>
      </c>
      <c r="O107" s="53">
        <v>0</v>
      </c>
      <c r="P107" s="53">
        <v>0</v>
      </c>
      <c r="Q107" s="53">
        <v>0.895</v>
      </c>
      <c r="R107" s="6">
        <v>0.89</v>
      </c>
      <c r="S107" s="6">
        <v>0.88</v>
      </c>
      <c r="T107" s="53">
        <v>0.87</v>
      </c>
      <c r="U107" s="53">
        <v>0.85</v>
      </c>
      <c r="V107" s="53">
        <v>0.84</v>
      </c>
      <c r="W107" s="53">
        <v>0.83</v>
      </c>
    </row>
    <row r="108" spans="1:23" ht="12.75">
      <c r="A108" s="21" t="s">
        <v>53</v>
      </c>
      <c r="B108" s="4">
        <v>1</v>
      </c>
      <c r="C108" s="4">
        <v>1</v>
      </c>
      <c r="D108" s="4">
        <v>1</v>
      </c>
      <c r="E108" s="4">
        <v>1</v>
      </c>
      <c r="G108" s="53">
        <v>11</v>
      </c>
      <c r="H108" s="6">
        <v>1</v>
      </c>
      <c r="I108" s="6">
        <v>0</v>
      </c>
      <c r="J108" s="6">
        <v>0</v>
      </c>
      <c r="K108" s="6">
        <v>0.97</v>
      </c>
      <c r="L108" s="6">
        <v>0</v>
      </c>
      <c r="M108" s="53">
        <v>0</v>
      </c>
      <c r="N108" s="53">
        <v>0.91</v>
      </c>
      <c r="O108" s="53">
        <v>0</v>
      </c>
      <c r="P108" s="53">
        <v>0.895</v>
      </c>
      <c r="Q108" s="53">
        <v>0.895</v>
      </c>
      <c r="R108" s="6">
        <v>0.89</v>
      </c>
      <c r="S108" s="6">
        <v>0.88</v>
      </c>
      <c r="T108" s="53">
        <v>0.87</v>
      </c>
      <c r="U108" s="53">
        <v>0.85</v>
      </c>
      <c r="V108" s="53">
        <v>0.84</v>
      </c>
      <c r="W108" s="53">
        <v>0.83</v>
      </c>
    </row>
    <row r="109" spans="1:23" ht="12.75">
      <c r="A109" s="1" t="s">
        <v>54</v>
      </c>
      <c r="B109" s="16">
        <v>12</v>
      </c>
      <c r="C109" s="16">
        <v>12</v>
      </c>
      <c r="D109" s="16">
        <v>12</v>
      </c>
      <c r="E109" s="16">
        <v>12</v>
      </c>
      <c r="G109" s="53">
        <v>12</v>
      </c>
      <c r="H109" s="6">
        <v>1</v>
      </c>
      <c r="I109" s="6">
        <v>0</v>
      </c>
      <c r="J109" s="6">
        <v>0</v>
      </c>
      <c r="K109" s="6">
        <v>0.97</v>
      </c>
      <c r="L109" s="6">
        <v>0</v>
      </c>
      <c r="M109" s="53">
        <v>0</v>
      </c>
      <c r="N109" s="53">
        <v>0.91</v>
      </c>
      <c r="O109" s="53">
        <v>0.91</v>
      </c>
      <c r="P109" s="53">
        <v>0.895</v>
      </c>
      <c r="Q109" s="53">
        <v>0.895</v>
      </c>
      <c r="R109" s="6">
        <v>0.89</v>
      </c>
      <c r="S109" s="6">
        <v>0.88</v>
      </c>
      <c r="T109" s="53">
        <v>0.87</v>
      </c>
      <c r="U109" s="53">
        <v>0.85</v>
      </c>
      <c r="V109" s="53">
        <v>0.84</v>
      </c>
      <c r="W109" s="53">
        <v>0.83</v>
      </c>
    </row>
    <row r="110" spans="1:23" ht="12.75">
      <c r="A110" s="1" t="s">
        <v>55</v>
      </c>
      <c r="B110" s="4">
        <v>50</v>
      </c>
      <c r="C110" s="4">
        <v>50</v>
      </c>
      <c r="D110" s="4">
        <v>50</v>
      </c>
      <c r="E110" s="4">
        <v>50</v>
      </c>
      <c r="G110" s="53">
        <v>13</v>
      </c>
      <c r="H110" s="6">
        <v>1</v>
      </c>
      <c r="I110" s="6">
        <v>0</v>
      </c>
      <c r="J110" s="6">
        <v>0</v>
      </c>
      <c r="K110" s="6">
        <v>0.97</v>
      </c>
      <c r="L110" s="6">
        <v>0</v>
      </c>
      <c r="M110" s="53">
        <v>0.925</v>
      </c>
      <c r="N110" s="53">
        <v>0.91</v>
      </c>
      <c r="O110" s="53">
        <v>0.91</v>
      </c>
      <c r="P110" s="53">
        <v>0.895</v>
      </c>
      <c r="Q110" s="53">
        <v>0.895</v>
      </c>
      <c r="R110" s="6">
        <v>0.89</v>
      </c>
      <c r="S110" s="6">
        <v>0.88</v>
      </c>
      <c r="T110" s="53">
        <v>0.87</v>
      </c>
      <c r="U110" s="53">
        <v>0.85</v>
      </c>
      <c r="V110" s="53">
        <v>0.84</v>
      </c>
      <c r="W110" s="53">
        <v>0.83</v>
      </c>
    </row>
    <row r="111" spans="1:23" ht="12.75">
      <c r="A111" s="1" t="s">
        <v>56</v>
      </c>
      <c r="B111" s="4">
        <v>51</v>
      </c>
      <c r="C111" s="4">
        <v>51</v>
      </c>
      <c r="D111" s="4">
        <v>51</v>
      </c>
      <c r="E111" s="4">
        <v>51</v>
      </c>
      <c r="G111" s="53">
        <v>14</v>
      </c>
      <c r="H111" s="6">
        <v>1</v>
      </c>
      <c r="I111" s="6">
        <v>0</v>
      </c>
      <c r="J111" s="6">
        <v>0</v>
      </c>
      <c r="K111" s="6">
        <v>0.97</v>
      </c>
      <c r="L111" s="6">
        <v>0.925</v>
      </c>
      <c r="M111" s="53">
        <v>0.925</v>
      </c>
      <c r="N111" s="53">
        <v>0.91</v>
      </c>
      <c r="O111" s="53">
        <v>0.91</v>
      </c>
      <c r="P111" s="53">
        <v>0.895</v>
      </c>
      <c r="Q111" s="53">
        <v>0.895</v>
      </c>
      <c r="R111" s="6">
        <v>0.89</v>
      </c>
      <c r="S111" s="6">
        <v>0.88</v>
      </c>
      <c r="T111" s="53">
        <v>0.87</v>
      </c>
      <c r="U111" s="53">
        <v>0.85</v>
      </c>
      <c r="V111" s="53">
        <v>0.84</v>
      </c>
      <c r="W111" s="53">
        <v>0.83</v>
      </c>
    </row>
    <row r="112" spans="1:23" ht="12.75">
      <c r="A112" s="21" t="s">
        <v>57</v>
      </c>
      <c r="B112" s="4">
        <v>2</v>
      </c>
      <c r="C112" s="4">
        <v>2</v>
      </c>
      <c r="D112" s="4">
        <v>2</v>
      </c>
      <c r="E112" s="4">
        <v>2</v>
      </c>
      <c r="G112" s="53">
        <v>15</v>
      </c>
      <c r="H112" s="6">
        <v>1</v>
      </c>
      <c r="I112" s="6">
        <v>0</v>
      </c>
      <c r="J112" s="6">
        <v>0.985</v>
      </c>
      <c r="K112" s="6">
        <v>0.97</v>
      </c>
      <c r="L112" s="6">
        <v>0.925</v>
      </c>
      <c r="M112" s="53">
        <v>0.925</v>
      </c>
      <c r="N112" s="53">
        <v>0.91</v>
      </c>
      <c r="O112" s="53">
        <v>0.91</v>
      </c>
      <c r="P112" s="53">
        <v>0.895</v>
      </c>
      <c r="Q112" s="53">
        <v>0.895</v>
      </c>
      <c r="R112" s="6">
        <v>0.89</v>
      </c>
      <c r="S112" s="6">
        <v>0.88</v>
      </c>
      <c r="T112" s="53">
        <v>0.87</v>
      </c>
      <c r="U112" s="53">
        <v>0.85</v>
      </c>
      <c r="V112" s="53">
        <v>0.84</v>
      </c>
      <c r="W112" s="53">
        <v>0.83</v>
      </c>
    </row>
    <row r="113" spans="1:23" ht="12.75">
      <c r="A113" s="1" t="s">
        <v>54</v>
      </c>
      <c r="B113" s="16">
        <v>10</v>
      </c>
      <c r="C113" s="16">
        <v>10</v>
      </c>
      <c r="D113" s="16">
        <v>10</v>
      </c>
      <c r="E113" s="16">
        <v>10</v>
      </c>
      <c r="G113" s="53">
        <v>16</v>
      </c>
      <c r="H113" s="6">
        <v>1</v>
      </c>
      <c r="I113" s="6">
        <v>1</v>
      </c>
      <c r="J113" s="6">
        <v>0.985</v>
      </c>
      <c r="K113" s="6">
        <v>0.97</v>
      </c>
      <c r="L113" s="6">
        <v>0.925</v>
      </c>
      <c r="M113" s="53">
        <v>0.925</v>
      </c>
      <c r="N113" s="53">
        <v>0.91</v>
      </c>
      <c r="O113" s="53">
        <v>0.91</v>
      </c>
      <c r="P113" s="53">
        <v>0.895</v>
      </c>
      <c r="Q113" s="53">
        <v>0.895</v>
      </c>
      <c r="R113" s="6">
        <v>0.89</v>
      </c>
      <c r="S113" s="6">
        <v>0.88</v>
      </c>
      <c r="T113" s="53">
        <v>0.87</v>
      </c>
      <c r="U113" s="53">
        <v>0.85</v>
      </c>
      <c r="V113" s="53">
        <v>0.84</v>
      </c>
      <c r="W113" s="53">
        <v>0.83</v>
      </c>
    </row>
    <row r="114" spans="1:23" ht="12.75">
      <c r="A114" s="1" t="s">
        <v>55</v>
      </c>
      <c r="B114" s="4">
        <v>50</v>
      </c>
      <c r="C114" s="4">
        <v>50</v>
      </c>
      <c r="D114" s="4">
        <v>50</v>
      </c>
      <c r="E114" s="4">
        <v>50</v>
      </c>
      <c r="H114" s="6"/>
      <c r="I114" s="6"/>
      <c r="J114" s="6"/>
      <c r="K114" s="6"/>
      <c r="M114" s="53"/>
      <c r="N114" s="53"/>
      <c r="O114" s="53"/>
      <c r="P114" s="53"/>
      <c r="R114" s="6"/>
      <c r="S114" s="6"/>
      <c r="V114" s="53"/>
      <c r="W114" s="53"/>
    </row>
    <row r="115" spans="1:23" ht="12.75">
      <c r="A115" s="1" t="s">
        <v>56</v>
      </c>
      <c r="B115" s="4">
        <v>51</v>
      </c>
      <c r="C115" s="4">
        <v>51</v>
      </c>
      <c r="D115" s="4">
        <v>51</v>
      </c>
      <c r="E115" s="4">
        <v>51</v>
      </c>
      <c r="H115" s="6"/>
      <c r="I115" s="6"/>
      <c r="J115" s="6"/>
      <c r="K115" s="6"/>
      <c r="M115" s="53"/>
      <c r="N115" s="53"/>
      <c r="O115" s="53"/>
      <c r="P115" s="53"/>
      <c r="R115" s="6"/>
      <c r="S115" s="6"/>
      <c r="V115" s="53"/>
      <c r="W115" s="53"/>
    </row>
    <row r="116" spans="1:23" ht="12.75">
      <c r="A116" s="21" t="s">
        <v>58</v>
      </c>
      <c r="B116" s="4">
        <v>1</v>
      </c>
      <c r="C116" s="4">
        <v>1</v>
      </c>
      <c r="D116" s="4">
        <v>1</v>
      </c>
      <c r="E116" s="4">
        <v>1</v>
      </c>
      <c r="H116" s="6"/>
      <c r="I116" s="6"/>
      <c r="J116" s="6"/>
      <c r="K116" s="6"/>
      <c r="M116" s="53"/>
      <c r="N116" s="53"/>
      <c r="O116" s="53"/>
      <c r="P116" s="53"/>
      <c r="R116" s="6"/>
      <c r="S116" s="6"/>
      <c r="V116" s="53"/>
      <c r="W116" s="53"/>
    </row>
    <row r="117" spans="1:23" ht="12.75">
      <c r="A117" s="1" t="s">
        <v>54</v>
      </c>
      <c r="B117" s="16">
        <v>7</v>
      </c>
      <c r="C117" s="16">
        <v>7</v>
      </c>
      <c r="D117" s="16">
        <v>7</v>
      </c>
      <c r="E117" s="16">
        <v>7</v>
      </c>
      <c r="H117" s="6"/>
      <c r="I117" s="6"/>
      <c r="J117" s="6"/>
      <c r="K117" s="6"/>
      <c r="R117" s="6"/>
      <c r="S117" s="6"/>
      <c r="V117" s="53"/>
      <c r="W117" s="53"/>
    </row>
    <row r="118" spans="1:23" ht="12.75">
      <c r="A118" s="1" t="s">
        <v>55</v>
      </c>
      <c r="B118" s="4">
        <v>50</v>
      </c>
      <c r="C118" s="4">
        <v>50</v>
      </c>
      <c r="D118" s="4">
        <v>50</v>
      </c>
      <c r="E118" s="4">
        <v>50</v>
      </c>
      <c r="H118" s="6"/>
      <c r="I118" s="6"/>
      <c r="J118" s="6"/>
      <c r="K118" s="6"/>
      <c r="R118" s="6"/>
      <c r="S118" s="6"/>
      <c r="V118" s="53"/>
      <c r="W118" s="53"/>
    </row>
    <row r="119" spans="1:23" ht="12.75">
      <c r="A119" s="1" t="s">
        <v>56</v>
      </c>
      <c r="B119" s="4">
        <v>51</v>
      </c>
      <c r="C119" s="4">
        <v>51</v>
      </c>
      <c r="D119" s="4">
        <v>51</v>
      </c>
      <c r="E119" s="4">
        <v>51</v>
      </c>
      <c r="H119" s="6"/>
      <c r="I119" s="6"/>
      <c r="J119" s="6"/>
      <c r="K119" s="6"/>
      <c r="L119" s="53"/>
      <c r="M119" s="53"/>
      <c r="N119" s="53"/>
      <c r="O119" s="53"/>
      <c r="P119" s="53"/>
      <c r="V119" s="53"/>
      <c r="W119" s="53"/>
    </row>
    <row r="120" spans="1:23" ht="12.75">
      <c r="A120" s="13" t="s">
        <v>59</v>
      </c>
      <c r="B120" s="8"/>
      <c r="C120" s="8"/>
      <c r="D120" s="8"/>
      <c r="E120" s="8"/>
      <c r="H120" s="6"/>
      <c r="I120" s="6"/>
      <c r="J120" s="6"/>
      <c r="K120" s="6"/>
      <c r="M120" s="53"/>
      <c r="N120" s="53"/>
      <c r="O120" s="53"/>
      <c r="P120" s="53"/>
      <c r="R120" s="6"/>
      <c r="S120" s="6"/>
      <c r="V120" s="53"/>
      <c r="W120" s="53"/>
    </row>
    <row r="121" spans="1:23" ht="12.75">
      <c r="A121" s="45" t="s">
        <v>60</v>
      </c>
      <c r="B121" s="23">
        <v>129000</v>
      </c>
      <c r="C121" s="23">
        <v>129000</v>
      </c>
      <c r="D121" s="23">
        <v>129000</v>
      </c>
      <c r="E121" s="23">
        <v>129000</v>
      </c>
      <c r="H121" s="6"/>
      <c r="I121" s="6"/>
      <c r="J121" s="6"/>
      <c r="K121" s="6"/>
      <c r="M121" s="53"/>
      <c r="N121" s="53"/>
      <c r="O121" s="53"/>
      <c r="P121" s="53"/>
      <c r="R121" s="6"/>
      <c r="S121" s="6"/>
      <c r="V121" s="53"/>
      <c r="W121" s="53"/>
    </row>
    <row r="122" spans="1:23" ht="12.75">
      <c r="A122" s="1" t="s">
        <v>61</v>
      </c>
      <c r="B122" s="24">
        <v>0.07</v>
      </c>
      <c r="C122" s="24">
        <v>0.07</v>
      </c>
      <c r="D122" s="24">
        <v>0.07</v>
      </c>
      <c r="E122" s="24">
        <v>0.07</v>
      </c>
      <c r="H122" s="6"/>
      <c r="I122" s="6"/>
      <c r="J122" s="6"/>
      <c r="K122" s="6"/>
      <c r="M122" s="53"/>
      <c r="N122" s="53"/>
      <c r="O122" s="53"/>
      <c r="P122" s="53"/>
      <c r="R122" s="6"/>
      <c r="S122" s="6"/>
      <c r="V122" s="53"/>
      <c r="W122" s="53"/>
    </row>
    <row r="123" spans="1:23" ht="12.75">
      <c r="A123" s="1" t="s">
        <v>62</v>
      </c>
      <c r="B123" s="7">
        <v>12</v>
      </c>
      <c r="C123" s="7">
        <v>12</v>
      </c>
      <c r="D123" s="7">
        <v>12</v>
      </c>
      <c r="E123" s="7">
        <v>12</v>
      </c>
      <c r="H123" s="6"/>
      <c r="I123" s="6"/>
      <c r="J123" s="6"/>
      <c r="K123" s="6"/>
      <c r="M123" s="53"/>
      <c r="N123" s="53"/>
      <c r="O123" s="53"/>
      <c r="P123" s="53"/>
      <c r="R123" s="6"/>
      <c r="S123" s="6"/>
      <c r="V123" s="53"/>
      <c r="W123" s="53"/>
    </row>
    <row r="124" spans="1:23" ht="12.75">
      <c r="A124" s="1" t="s">
        <v>63</v>
      </c>
      <c r="B124" s="25">
        <v>1.15</v>
      </c>
      <c r="C124" s="25">
        <v>1.15</v>
      </c>
      <c r="D124" s="25">
        <v>1.15</v>
      </c>
      <c r="E124" s="25">
        <v>1.15</v>
      </c>
      <c r="H124" s="6"/>
      <c r="I124" s="6"/>
      <c r="J124" s="6"/>
      <c r="K124" s="6"/>
      <c r="M124" s="53"/>
      <c r="N124" s="53"/>
      <c r="O124" s="53"/>
      <c r="P124" s="53"/>
      <c r="R124" s="6"/>
      <c r="S124" s="6"/>
      <c r="V124" s="53"/>
      <c r="W124" s="53"/>
    </row>
    <row r="125" spans="1:23" ht="12.75">
      <c r="A125" s="1" t="s">
        <v>64</v>
      </c>
      <c r="B125" s="25">
        <v>1</v>
      </c>
      <c r="C125" s="25">
        <v>1</v>
      </c>
      <c r="D125" s="25">
        <v>1</v>
      </c>
      <c r="E125" s="25">
        <v>1</v>
      </c>
      <c r="H125" s="6"/>
      <c r="I125" s="6"/>
      <c r="J125" s="6"/>
      <c r="K125" s="6"/>
      <c r="M125" s="53"/>
      <c r="N125" s="53"/>
      <c r="O125" s="53"/>
      <c r="P125" s="53"/>
      <c r="R125" s="6"/>
      <c r="S125" s="6"/>
      <c r="V125" s="53"/>
      <c r="W125" s="53"/>
    </row>
    <row r="126" spans="1:23" ht="12.75">
      <c r="A126" s="9"/>
      <c r="B126" s="9"/>
      <c r="C126" s="9"/>
      <c r="D126" s="10"/>
      <c r="E126" s="10"/>
      <c r="H126" s="6"/>
      <c r="I126" s="6"/>
      <c r="J126" s="6"/>
      <c r="K126" s="6"/>
      <c r="M126" s="53"/>
      <c r="N126" s="53"/>
      <c r="O126" s="53"/>
      <c r="P126" s="53"/>
      <c r="R126" s="6"/>
      <c r="S126" s="6"/>
      <c r="V126" s="53"/>
      <c r="W126" s="53"/>
    </row>
    <row r="127" spans="1:23" ht="12.75">
      <c r="A127" s="28"/>
      <c r="B127" s="12" t="str">
        <f aca="true" t="shared" si="1" ref="B127:E128">B7</f>
        <v>Scenario</v>
      </c>
      <c r="C127" s="12" t="str">
        <f t="shared" si="1"/>
        <v>Scenario</v>
      </c>
      <c r="D127" s="12" t="str">
        <f t="shared" si="1"/>
        <v>Scenario</v>
      </c>
      <c r="E127" s="12" t="str">
        <f t="shared" si="1"/>
        <v>Scenario</v>
      </c>
      <c r="H127" s="6"/>
      <c r="I127" s="6"/>
      <c r="J127" s="6"/>
      <c r="K127" s="6"/>
      <c r="M127" s="53"/>
      <c r="N127" s="53"/>
      <c r="O127" s="53"/>
      <c r="P127" s="53"/>
      <c r="R127" s="6"/>
      <c r="S127" s="6"/>
      <c r="V127" s="53"/>
      <c r="W127" s="53"/>
    </row>
    <row r="128" spans="1:23" ht="12.75">
      <c r="A128" s="12" t="s">
        <v>65</v>
      </c>
      <c r="B128" s="12" t="str">
        <f t="shared" si="1"/>
        <v>Natural</v>
      </c>
      <c r="C128" s="12" t="str">
        <f t="shared" si="1"/>
        <v>On-farm</v>
      </c>
      <c r="D128" s="12" t="str">
        <f t="shared" si="1"/>
        <v>Off-farm</v>
      </c>
      <c r="E128" s="12" t="str">
        <f t="shared" si="1"/>
        <v>Commercial</v>
      </c>
      <c r="H128" s="6"/>
      <c r="I128" s="6"/>
      <c r="J128" s="6"/>
      <c r="K128" s="6"/>
      <c r="M128" s="53"/>
      <c r="N128" s="53"/>
      <c r="O128" s="53"/>
      <c r="P128" s="53"/>
      <c r="R128" s="6"/>
      <c r="S128" s="6"/>
      <c r="V128" s="53"/>
      <c r="W128" s="53"/>
    </row>
    <row r="129" spans="1:23" ht="12.75">
      <c r="A129" s="26"/>
      <c r="B129" s="10"/>
      <c r="C129" s="10"/>
      <c r="D129" s="10"/>
      <c r="E129" s="10"/>
      <c r="H129" s="6"/>
      <c r="I129" s="6"/>
      <c r="J129" s="6"/>
      <c r="K129" s="6"/>
      <c r="M129" s="53"/>
      <c r="N129" s="53"/>
      <c r="O129" s="53"/>
      <c r="P129" s="53"/>
      <c r="R129" s="6"/>
      <c r="S129" s="6"/>
      <c r="V129" s="53"/>
      <c r="W129" s="53"/>
    </row>
    <row r="130" spans="1:23" ht="12.75">
      <c r="A130" s="55" t="s">
        <v>163</v>
      </c>
      <c r="B130" s="43"/>
      <c r="C130" s="43"/>
      <c r="D130" s="43"/>
      <c r="E130" s="43"/>
      <c r="H130" s="6"/>
      <c r="I130" s="6"/>
      <c r="J130" s="6"/>
      <c r="K130" s="6"/>
      <c r="M130" s="53"/>
      <c r="N130" s="53"/>
      <c r="O130" s="53"/>
      <c r="P130" s="53"/>
      <c r="R130" s="6"/>
      <c r="S130" s="6"/>
      <c r="V130" s="53"/>
      <c r="W130" s="53"/>
    </row>
    <row r="131" spans="1:23" ht="12.75">
      <c r="A131" s="58" t="s">
        <v>286</v>
      </c>
      <c r="B131" s="56">
        <f>INT((B17+B18+B23)/B26)</f>
        <v>19</v>
      </c>
      <c r="C131" s="56">
        <f>INT((C17+C18+C23)/C26)</f>
        <v>19</v>
      </c>
      <c r="D131" s="56">
        <f>INT((D17+D18+D23)/D26)</f>
        <v>19</v>
      </c>
      <c r="E131" s="56">
        <f>INT((E17+E18+E23)/E26)</f>
        <v>19</v>
      </c>
      <c r="H131" s="6"/>
      <c r="I131" s="6"/>
      <c r="J131" s="6"/>
      <c r="K131" s="6"/>
      <c r="M131" s="53"/>
      <c r="N131" s="53"/>
      <c r="O131" s="53"/>
      <c r="P131" s="53"/>
      <c r="R131" s="6"/>
      <c r="S131" s="6"/>
      <c r="V131" s="53"/>
      <c r="W131" s="53"/>
    </row>
    <row r="132" spans="1:23" ht="12.75">
      <c r="A132" s="58" t="s">
        <v>146</v>
      </c>
      <c r="B132" s="43">
        <f>B25/B27</f>
        <v>56</v>
      </c>
      <c r="C132" s="43">
        <f>C25/C27</f>
        <v>56</v>
      </c>
      <c r="D132" s="43">
        <f>D25/D27</f>
        <v>56</v>
      </c>
      <c r="E132" s="43">
        <f>E25/E27</f>
        <v>56</v>
      </c>
      <c r="H132" s="6"/>
      <c r="I132" s="6"/>
      <c r="J132" s="6"/>
      <c r="K132" s="6"/>
      <c r="M132" s="53"/>
      <c r="N132" s="53"/>
      <c r="O132" s="53"/>
      <c r="P132" s="53"/>
      <c r="R132" s="6"/>
      <c r="S132" s="6"/>
      <c r="V132" s="53"/>
      <c r="W132" s="53"/>
    </row>
    <row r="133" spans="1:23" ht="12.75">
      <c r="A133" s="58" t="s">
        <v>147</v>
      </c>
      <c r="B133" s="57">
        <f>B132/B19</f>
        <v>66.11570247933885</v>
      </c>
      <c r="C133" s="57">
        <f>C132/C19</f>
        <v>74.66666666666667</v>
      </c>
      <c r="D133" s="57">
        <f>D132/D19</f>
        <v>74.66666666666667</v>
      </c>
      <c r="E133" s="57">
        <f>E132/E19</f>
        <v>66.11570247933885</v>
      </c>
      <c r="H133" s="6"/>
      <c r="I133" s="6"/>
      <c r="J133" s="6"/>
      <c r="K133" s="6"/>
      <c r="M133" s="53"/>
      <c r="N133" s="53"/>
      <c r="O133" s="53"/>
      <c r="P133" s="53"/>
      <c r="R133" s="6"/>
      <c r="S133" s="6"/>
      <c r="V133" s="53"/>
      <c r="W133" s="53"/>
    </row>
    <row r="134" spans="1:23" ht="12.75">
      <c r="A134" s="58" t="s">
        <v>148</v>
      </c>
      <c r="B134" s="56">
        <f>B10/B26</f>
        <v>52.142857142857146</v>
      </c>
      <c r="C134" s="56">
        <f>C10/C26</f>
        <v>52.142857142857146</v>
      </c>
      <c r="D134" s="56">
        <f>D10/D26</f>
        <v>52.142857142857146</v>
      </c>
      <c r="E134" s="56">
        <f>E10/E26</f>
        <v>52.142857142857146</v>
      </c>
      <c r="H134" s="6"/>
      <c r="I134" s="6"/>
      <c r="J134" s="6"/>
      <c r="K134" s="6"/>
      <c r="M134" s="53"/>
      <c r="N134" s="53"/>
      <c r="O134" s="53"/>
      <c r="P134" s="53"/>
      <c r="R134" s="6"/>
      <c r="S134" s="6"/>
      <c r="V134" s="53"/>
      <c r="W134" s="53"/>
    </row>
    <row r="135" spans="1:23" ht="12.75">
      <c r="A135" s="58" t="s">
        <v>149</v>
      </c>
      <c r="B135" s="57">
        <f>B133*B134</f>
        <v>3447.461629279812</v>
      </c>
      <c r="C135" s="57">
        <f>C133*C134</f>
        <v>3893.333333333334</v>
      </c>
      <c r="D135" s="57">
        <f>D133*D134</f>
        <v>3893.333333333334</v>
      </c>
      <c r="E135" s="57">
        <f>E133*E134</f>
        <v>3447.461629279812</v>
      </c>
      <c r="H135" s="6"/>
      <c r="I135" s="6"/>
      <c r="J135" s="6"/>
      <c r="K135" s="6"/>
      <c r="M135" s="53"/>
      <c r="N135" s="53"/>
      <c r="O135" s="53"/>
      <c r="P135" s="53"/>
      <c r="R135" s="6"/>
      <c r="S135" s="6"/>
      <c r="V135" s="53"/>
      <c r="W135" s="53"/>
    </row>
    <row r="136" spans="1:23" ht="12.75">
      <c r="A136" s="58" t="s">
        <v>302</v>
      </c>
      <c r="B136" s="57">
        <f>B32*B135</f>
        <v>6894.923258559624</v>
      </c>
      <c r="C136" s="57">
        <f>C32*C135</f>
        <v>0</v>
      </c>
      <c r="D136" s="57">
        <f>D32*D135</f>
        <v>0</v>
      </c>
      <c r="E136" s="57">
        <f>E32*E135</f>
        <v>0</v>
      </c>
      <c r="H136" s="6"/>
      <c r="I136" s="6"/>
      <c r="J136" s="6"/>
      <c r="K136" s="6"/>
      <c r="M136" s="53"/>
      <c r="N136" s="53"/>
      <c r="O136" s="53"/>
      <c r="P136" s="53"/>
      <c r="R136" s="6"/>
      <c r="S136" s="6"/>
      <c r="V136" s="53"/>
      <c r="W136" s="53"/>
    </row>
    <row r="137" spans="1:23" ht="12.75">
      <c r="A137" s="58" t="s">
        <v>301</v>
      </c>
      <c r="B137" s="57">
        <f>B33*B135</f>
        <v>0</v>
      </c>
      <c r="C137" s="57">
        <f>C33*C135</f>
        <v>7786.666666666668</v>
      </c>
      <c r="D137" s="57">
        <f>D33*D135</f>
        <v>0</v>
      </c>
      <c r="E137" s="57">
        <f>E33*E135</f>
        <v>0</v>
      </c>
      <c r="G137" s="11"/>
      <c r="H137" s="6"/>
      <c r="I137" s="6"/>
      <c r="J137" s="6"/>
      <c r="K137" s="6"/>
      <c r="M137" s="53"/>
      <c r="N137" s="53"/>
      <c r="O137" s="53"/>
      <c r="P137" s="53"/>
      <c r="R137" s="6"/>
      <c r="S137" s="6"/>
      <c r="V137" s="53"/>
      <c r="W137" s="53"/>
    </row>
    <row r="138" spans="1:23" ht="12.75">
      <c r="A138" s="58" t="s">
        <v>300</v>
      </c>
      <c r="B138" s="57">
        <f>B34*B135</f>
        <v>0</v>
      </c>
      <c r="C138" s="57">
        <f>C34*C135</f>
        <v>0</v>
      </c>
      <c r="D138" s="57">
        <f>D34*D135</f>
        <v>7786.666666666668</v>
      </c>
      <c r="E138" s="57">
        <f>E34*E135</f>
        <v>0</v>
      </c>
      <c r="I138" s="6"/>
      <c r="J138" s="6"/>
      <c r="K138" s="6"/>
      <c r="N138" s="53"/>
      <c r="O138" s="53"/>
      <c r="P138" s="53"/>
      <c r="S138" s="6"/>
      <c r="T138" s="6"/>
      <c r="V138" s="53"/>
      <c r="W138" s="53"/>
    </row>
    <row r="139" spans="1:23" ht="12.75">
      <c r="A139" s="58" t="s">
        <v>311</v>
      </c>
      <c r="B139" s="57">
        <f>B35*B135</f>
        <v>0</v>
      </c>
      <c r="C139" s="57">
        <f>C35*C135</f>
        <v>0</v>
      </c>
      <c r="D139" s="57">
        <f>D35*D135</f>
        <v>0</v>
      </c>
      <c r="E139" s="57">
        <f>E35*E135</f>
        <v>6894.923258559624</v>
      </c>
      <c r="F139" s="11"/>
      <c r="K139" s="6"/>
      <c r="P139" s="53"/>
      <c r="U139" s="6"/>
      <c r="W139" s="53"/>
    </row>
    <row r="140" spans="1:23" ht="12.75">
      <c r="A140" s="58" t="s">
        <v>150</v>
      </c>
      <c r="B140" s="57">
        <f>(B132*B29)*(B10/B26)</f>
        <v>2920</v>
      </c>
      <c r="C140" s="57">
        <f>(C132*C29)*(C10/C26)</f>
        <v>2920</v>
      </c>
      <c r="D140" s="57">
        <f>(D132*D29)*(D10/D26)</f>
        <v>2920</v>
      </c>
      <c r="E140" s="57">
        <f>(E132*E29)*(E10/E26)</f>
        <v>2920</v>
      </c>
      <c r="K140" s="6"/>
      <c r="P140" s="53"/>
      <c r="U140" s="6"/>
      <c r="W140" s="53"/>
    </row>
    <row r="141" spans="1:23" ht="12.75">
      <c r="A141" s="58" t="s">
        <v>151</v>
      </c>
      <c r="B141" s="59">
        <f>B140/B135</f>
        <v>0.8469999999999999</v>
      </c>
      <c r="C141" s="59">
        <f>C140/C135</f>
        <v>0.7499999999999999</v>
      </c>
      <c r="D141" s="59">
        <f>D140/D135</f>
        <v>0.7499999999999999</v>
      </c>
      <c r="E141" s="59">
        <f>E140/E135</f>
        <v>0.8469999999999999</v>
      </c>
      <c r="K141" s="6"/>
      <c r="P141" s="53"/>
      <c r="U141" s="6"/>
      <c r="W141" s="53"/>
    </row>
    <row r="142" spans="1:23" ht="12.75">
      <c r="A142" s="58"/>
      <c r="B142" s="59"/>
      <c r="C142" s="59"/>
      <c r="D142" s="59"/>
      <c r="E142" s="59"/>
      <c r="K142" s="6"/>
      <c r="P142" s="53"/>
      <c r="U142" s="6"/>
      <c r="W142" s="53"/>
    </row>
    <row r="143" spans="1:23" ht="12.75">
      <c r="A143" s="55" t="s">
        <v>162</v>
      </c>
      <c r="B143" s="59"/>
      <c r="C143" s="59"/>
      <c r="D143" s="59"/>
      <c r="E143" s="59"/>
      <c r="K143" s="6"/>
      <c r="P143" s="53"/>
      <c r="U143" s="6"/>
      <c r="W143" s="53"/>
    </row>
    <row r="144" spans="1:23" ht="12.75">
      <c r="A144" s="58" t="s">
        <v>282</v>
      </c>
      <c r="B144" s="57">
        <f>((B132/B19)*B28)*B32</f>
        <v>132.2314049586777</v>
      </c>
      <c r="C144" s="57">
        <f>((C132/C19)*C28)*C32</f>
        <v>0</v>
      </c>
      <c r="D144" s="57">
        <f>((D132/D19)*D28)*D32</f>
        <v>0</v>
      </c>
      <c r="E144" s="57">
        <f>((E132/E19)*E28)*E32</f>
        <v>0</v>
      </c>
      <c r="K144" s="6"/>
      <c r="P144" s="53"/>
      <c r="U144" s="6"/>
      <c r="W144" s="53"/>
    </row>
    <row r="145" spans="1:23" ht="12.75">
      <c r="A145" s="58" t="s">
        <v>164</v>
      </c>
      <c r="B145" s="57">
        <f>(B132/B19)*B28*B33</f>
        <v>0</v>
      </c>
      <c r="C145" s="57">
        <f>(C132/C19)*C28*C33</f>
        <v>149.33333333333334</v>
      </c>
      <c r="D145" s="57">
        <f>(D132/D19)*D28*D33</f>
        <v>0</v>
      </c>
      <c r="E145" s="57">
        <f>(E132/E19)*E28*E33</f>
        <v>0</v>
      </c>
      <c r="K145" s="6"/>
      <c r="P145" s="53"/>
      <c r="U145" s="6"/>
      <c r="W145" s="53"/>
    </row>
    <row r="146" spans="1:23" ht="12.75">
      <c r="A146" s="58" t="s">
        <v>165</v>
      </c>
      <c r="B146" s="57">
        <f>(B132/B19)*B28*B34</f>
        <v>0</v>
      </c>
      <c r="C146" s="57">
        <f>(C132/C19)*C28*C34</f>
        <v>0</v>
      </c>
      <c r="D146" s="57">
        <f>(D132/D19)*D28*D34</f>
        <v>149.33333333333334</v>
      </c>
      <c r="E146" s="57">
        <f>(E132/E19)*E28*E34</f>
        <v>0</v>
      </c>
      <c r="K146" s="6"/>
      <c r="P146" s="53"/>
      <c r="U146" s="6"/>
      <c r="W146" s="53"/>
    </row>
    <row r="147" spans="1:23" ht="12.75">
      <c r="A147" s="58" t="s">
        <v>303</v>
      </c>
      <c r="B147" s="56">
        <f>IF(B144=0,0,INT(B144/(B39*B40)+1))</f>
        <v>30</v>
      </c>
      <c r="C147" s="56">
        <f>IF(C144=0,0,INT(C144/(C39*C40)+1))</f>
        <v>0</v>
      </c>
      <c r="D147" s="56">
        <f>IF(D144=0,0,INT(D144/(D39*D40)+1))</f>
        <v>0</v>
      </c>
      <c r="E147" s="56">
        <f>IF(E144=0,0,INT(E144/(E39*E40)+1))</f>
        <v>0</v>
      </c>
      <c r="K147" s="6"/>
      <c r="P147" s="53"/>
      <c r="U147" s="6"/>
      <c r="W147" s="53"/>
    </row>
    <row r="148" spans="1:23" ht="12.75">
      <c r="A148" s="58" t="s">
        <v>159</v>
      </c>
      <c r="B148" s="56">
        <f>IF(B145=0,0,INT((B10/B26)*B145/((B10/B26)*B49*(1-B51)*B50))+1)</f>
        <v>0</v>
      </c>
      <c r="C148" s="56">
        <f>IF(C145=0,0,INT((C10/C26)*C145/((C10/C26)*C49*(1-C51)*C50))+1)</f>
        <v>6</v>
      </c>
      <c r="D148" s="56">
        <f>IF(D145=0,0,INT((D10/D26)*D145/((D10/D26)*D49*(1-D51)*D50))+1)</f>
        <v>0</v>
      </c>
      <c r="E148" s="56">
        <f>IF(E145=0,0,INT((E10/E26)*E145/((E10/E26)*E49*(1-E51)*E50))+1)</f>
        <v>0</v>
      </c>
      <c r="K148" s="6"/>
      <c r="P148" s="53"/>
      <c r="U148" s="6"/>
      <c r="W148" s="53"/>
    </row>
    <row r="149" spans="1:23" ht="12.75">
      <c r="A149" s="58" t="s">
        <v>160</v>
      </c>
      <c r="B149" s="56">
        <f>IF(B146=0,0,INT((B10/B26)*B146/((B10/B26)*B49*(1-B51)*B50))+1)</f>
        <v>0</v>
      </c>
      <c r="C149" s="56">
        <f>IF(C146=0,0,INT((C10/C26)*C146/((C10/C26)*C49*(1-C51)*C50))+1)</f>
        <v>0</v>
      </c>
      <c r="D149" s="56">
        <f>IF(D146=0,0,INT((D10/D26)*D146/((D10/D26)*D49*(1-D51)*D50))+1)</f>
        <v>6</v>
      </c>
      <c r="E149" s="56">
        <f>IF(E146=0,0,INT((E10/E26)*E146/((E10/E26)*E49*(1-E51)*E50))+1)</f>
        <v>0</v>
      </c>
      <c r="K149" s="6"/>
      <c r="P149" s="53"/>
      <c r="U149" s="6"/>
      <c r="W149" s="53"/>
    </row>
    <row r="150" spans="1:23" ht="12.75">
      <c r="A150" s="63" t="s">
        <v>161</v>
      </c>
      <c r="B150" s="64">
        <f>B147+B148+B149</f>
        <v>30</v>
      </c>
      <c r="C150" s="64">
        <f>C147+C148+C149</f>
        <v>6</v>
      </c>
      <c r="D150" s="64">
        <f>D147+D148+D149</f>
        <v>6</v>
      </c>
      <c r="E150" s="64">
        <f>E147+E148+E149</f>
        <v>0</v>
      </c>
      <c r="K150" s="6"/>
      <c r="P150" s="53"/>
      <c r="U150" s="6"/>
      <c r="W150" s="53"/>
    </row>
    <row r="151" spans="1:23" ht="12.75">
      <c r="A151" s="58"/>
      <c r="B151" s="59"/>
      <c r="C151" s="59"/>
      <c r="D151" s="59"/>
      <c r="E151" s="59"/>
      <c r="K151" s="6"/>
      <c r="P151" s="53"/>
      <c r="U151" s="6"/>
      <c r="W151" s="53"/>
    </row>
    <row r="152" spans="1:23" ht="12.75">
      <c r="A152" s="55" t="s">
        <v>166</v>
      </c>
      <c r="B152" s="59"/>
      <c r="C152" s="59"/>
      <c r="D152" s="59"/>
      <c r="E152" s="59"/>
      <c r="K152" s="6"/>
      <c r="P152" s="53"/>
      <c r="U152" s="6"/>
      <c r="W152" s="53"/>
    </row>
    <row r="153" spans="1:23" ht="12.75">
      <c r="A153" s="58" t="s">
        <v>167</v>
      </c>
      <c r="B153" s="56">
        <f>IF(B145+B146=0,0,(B132/B19)/B53)</f>
        <v>0</v>
      </c>
      <c r="C153" s="56">
        <f>IF(C145+C146=0,0,(C132/C19)/C53)</f>
        <v>1.4933333333333334</v>
      </c>
      <c r="D153" s="56">
        <f>IF(D145+D146=0,0,(D132/D19)/D53)</f>
        <v>1.4933333333333334</v>
      </c>
      <c r="E153" s="56">
        <f>IF(E145+E146=0,0,(E132/E19)/E53)</f>
        <v>0</v>
      </c>
      <c r="K153" s="6"/>
      <c r="P153" s="53"/>
      <c r="U153" s="6"/>
      <c r="W153" s="53"/>
    </row>
    <row r="154" spans="1:23" ht="12.75">
      <c r="A154" s="58" t="s">
        <v>168</v>
      </c>
      <c r="B154" s="56">
        <f>B177/B54</f>
        <v>5.23818181818182</v>
      </c>
      <c r="C154" s="56">
        <f>C177/C54</f>
        <v>5.861333333333334</v>
      </c>
      <c r="D154" s="56">
        <f>D177/D54</f>
        <v>5.861333333333334</v>
      </c>
      <c r="E154" s="56">
        <f>E177/E54</f>
        <v>5.23818181818182</v>
      </c>
      <c r="K154" s="6"/>
      <c r="P154" s="53"/>
      <c r="U154" s="6"/>
      <c r="W154" s="53"/>
    </row>
    <row r="155" spans="1:23" ht="12.75">
      <c r="A155" s="63" t="s">
        <v>241</v>
      </c>
      <c r="B155" s="64">
        <f>B153+B154</f>
        <v>5.23818181818182</v>
      </c>
      <c r="C155" s="64">
        <f>C153+C154</f>
        <v>7.354666666666668</v>
      </c>
      <c r="D155" s="64">
        <f>D153+D154</f>
        <v>7.354666666666668</v>
      </c>
      <c r="E155" s="64">
        <f>E153+E154</f>
        <v>5.23818181818182</v>
      </c>
      <c r="K155" s="6"/>
      <c r="P155" s="53"/>
      <c r="U155" s="6"/>
      <c r="W155" s="53"/>
    </row>
    <row r="156" spans="1:23" ht="12.75">
      <c r="A156" s="55" t="s">
        <v>240</v>
      </c>
      <c r="B156" s="56"/>
      <c r="C156" s="56"/>
      <c r="D156" s="56"/>
      <c r="E156" s="56"/>
      <c r="K156" s="6"/>
      <c r="P156" s="53"/>
      <c r="U156" s="6"/>
      <c r="W156" s="53"/>
    </row>
    <row r="157" spans="1:23" ht="12.75">
      <c r="A157" s="58" t="s">
        <v>169</v>
      </c>
      <c r="B157" s="56"/>
      <c r="C157" s="56"/>
      <c r="D157" s="56"/>
      <c r="E157" s="56"/>
      <c r="K157" s="6"/>
      <c r="P157" s="53"/>
      <c r="U157" s="6"/>
      <c r="W157" s="53"/>
    </row>
    <row r="158" spans="1:23" ht="12.75">
      <c r="A158" s="58" t="s">
        <v>170</v>
      </c>
      <c r="B158" s="48">
        <f>VLOOKUP(B$19,G$3:W$9,(1+1),0)</f>
        <v>1</v>
      </c>
      <c r="C158" s="48">
        <f>VLOOKUP(C$19,G$13:W$19,(1+1),0)</f>
        <v>1</v>
      </c>
      <c r="D158" s="48">
        <f>VLOOKUP(D$19,G$23:W$29,(1+1),0)</f>
        <v>1</v>
      </c>
      <c r="E158" s="48">
        <f>VLOOKUP(E$19,G$33:W$39,(1+1),0)</f>
        <v>1</v>
      </c>
      <c r="K158" s="6"/>
      <c r="P158" s="53"/>
      <c r="U158" s="6"/>
      <c r="W158" s="53"/>
    </row>
    <row r="159" spans="1:23" ht="12.75">
      <c r="A159" s="58" t="s">
        <v>171</v>
      </c>
      <c r="B159" s="48">
        <f>VLOOKUP(B$19,G$3:W$9,(1+2),0)</f>
        <v>0.998</v>
      </c>
      <c r="C159" s="48">
        <f>VLOOKUP(C$19,G$13:W$19,(1+2),0)</f>
        <v>0.998</v>
      </c>
      <c r="D159" s="48">
        <f>VLOOKUP(D$19,G$23:W$29,(1+2),0)</f>
        <v>0.998</v>
      </c>
      <c r="E159" s="48">
        <f>VLOOKUP(E$19,G$33:W$39,(1+2),0)</f>
        <v>0.998</v>
      </c>
      <c r="K159" s="6"/>
      <c r="P159" s="53"/>
      <c r="U159" s="6"/>
      <c r="W159" s="53"/>
    </row>
    <row r="160" spans="1:23" ht="12.75">
      <c r="A160" s="58" t="s">
        <v>172</v>
      </c>
      <c r="B160" s="48">
        <f>VLOOKUP(B$19,G$3:W$9,(1+3),0)</f>
        <v>0.98</v>
      </c>
      <c r="C160" s="48">
        <f>VLOOKUP(C$19,G$13:W$19,(1+3),0)</f>
        <v>0.9</v>
      </c>
      <c r="D160" s="48">
        <f>VLOOKUP(D$19,G$23:W$29,(1+3),0)</f>
        <v>0.9</v>
      </c>
      <c r="E160" s="48">
        <f>VLOOKUP(E$19,G$33:W$39,(1+3),0)</f>
        <v>0.98</v>
      </c>
      <c r="K160" s="6"/>
      <c r="P160" s="53"/>
      <c r="U160" s="6"/>
      <c r="W160" s="53"/>
    </row>
    <row r="161" spans="1:23" ht="12.75">
      <c r="A161" s="58" t="s">
        <v>173</v>
      </c>
      <c r="B161" s="48">
        <f>VLOOKUP(B$19,G$3:W$9,(1+4),0)</f>
        <v>0.87</v>
      </c>
      <c r="C161" s="48">
        <f>VLOOKUP(C$19,G$13:W$19,(1+4),0)</f>
        <v>0.88</v>
      </c>
      <c r="D161" s="48">
        <f>VLOOKUP(D$19,G$23:W$29,(1+4),0)</f>
        <v>0.88</v>
      </c>
      <c r="E161" s="48">
        <f>VLOOKUP(E$19,G$33:W$39,(1+4),0)</f>
        <v>0.87</v>
      </c>
      <c r="K161" s="6"/>
      <c r="P161" s="53"/>
      <c r="U161" s="6"/>
      <c r="W161" s="53"/>
    </row>
    <row r="162" spans="1:23" ht="12.75">
      <c r="A162" s="58" t="s">
        <v>174</v>
      </c>
      <c r="B162" s="48">
        <f>VLOOKUP(B$19,G$3:W$9,(1+5),0)</f>
        <v>0.86</v>
      </c>
      <c r="C162" s="48">
        <f>VLOOKUP(C$19,G$13:W$19,(1+5),0)</f>
        <v>0.86</v>
      </c>
      <c r="D162" s="48">
        <f>VLOOKUP(D$19,G$23:W$29,(1+5),0)</f>
        <v>0.86</v>
      </c>
      <c r="E162" s="48">
        <f>VLOOKUP(E$19,G$33:W$39,(1+5),0)</f>
        <v>0.86</v>
      </c>
      <c r="K162" s="6"/>
      <c r="P162" s="53"/>
      <c r="U162" s="6"/>
      <c r="W162" s="53"/>
    </row>
    <row r="163" spans="1:23" ht="12.75">
      <c r="A163" s="58" t="s">
        <v>175</v>
      </c>
      <c r="B163" s="48">
        <f>VLOOKUP(B$19,G$3:W$9,(1+6),0)</f>
        <v>0.86</v>
      </c>
      <c r="C163" s="48">
        <f>VLOOKUP(C$19,G$13:W$19,(1+6),0)</f>
        <v>0.85</v>
      </c>
      <c r="D163" s="48">
        <f>VLOOKUP(D$19,G$23:W$29,(1+6),0)</f>
        <v>0.85</v>
      </c>
      <c r="E163" s="48">
        <f>VLOOKUP(E$19,G$33:W$39,(1+6),0)</f>
        <v>0.86</v>
      </c>
      <c r="K163" s="6"/>
      <c r="P163" s="53"/>
      <c r="U163" s="6"/>
      <c r="W163" s="53"/>
    </row>
    <row r="164" spans="1:23" ht="12.75">
      <c r="A164" s="58" t="s">
        <v>176</v>
      </c>
      <c r="B164" s="48">
        <f>VLOOKUP(B$19,G$3:W$9,(1+7),0)</f>
        <v>0.86</v>
      </c>
      <c r="C164" s="48">
        <f>VLOOKUP(C$19,G$13:W$19,(1+7),0)</f>
        <v>0.84</v>
      </c>
      <c r="D164" s="48">
        <f>VLOOKUP(D$19,G$23:W$29,(1+7),0)</f>
        <v>0.84</v>
      </c>
      <c r="E164" s="48">
        <f>VLOOKUP(E$19,G$33:W$39,(1+7),0)</f>
        <v>0.86</v>
      </c>
      <c r="K164" s="6"/>
      <c r="P164" s="53"/>
      <c r="U164" s="6"/>
      <c r="W164" s="53"/>
    </row>
    <row r="165" spans="1:23" ht="12.75">
      <c r="A165" s="58" t="s">
        <v>177</v>
      </c>
      <c r="B165" s="48">
        <f>VLOOKUP(B$19,G$3:W$9,(1+8),0)</f>
        <v>0.86</v>
      </c>
      <c r="C165" s="48">
        <f>VLOOKUP(C$19,G$13:W$19,(1+8),0)</f>
        <v>0.83</v>
      </c>
      <c r="D165" s="48">
        <f>VLOOKUP(D$19,G$23:W$29,(1+8),0)</f>
        <v>0.83</v>
      </c>
      <c r="E165" s="48">
        <f>VLOOKUP(E$19,G$33:W$39,(1+8),0)</f>
        <v>0.86</v>
      </c>
      <c r="K165" s="6"/>
      <c r="P165" s="53"/>
      <c r="U165" s="6"/>
      <c r="W165" s="53"/>
    </row>
    <row r="166" spans="1:23" ht="12.75">
      <c r="A166" s="58" t="s">
        <v>178</v>
      </c>
      <c r="B166" s="48">
        <f>VLOOKUP(B$19,G$3:W$9,(1+9),0)</f>
        <v>0.86</v>
      </c>
      <c r="C166" s="48">
        <f>VLOOKUP(C$19,G$13:W$19,(1+9),0)</f>
        <v>0.82</v>
      </c>
      <c r="D166" s="48">
        <f>VLOOKUP(D$19,G$23:W$29,(1+9),0)</f>
        <v>0.82</v>
      </c>
      <c r="E166" s="48">
        <f>VLOOKUP(E$19,G$33:W$39,(1+9),0)</f>
        <v>0.86</v>
      </c>
      <c r="K166" s="6"/>
      <c r="P166" s="53"/>
      <c r="U166" s="6"/>
      <c r="W166" s="53"/>
    </row>
    <row r="167" spans="1:23" ht="12.75">
      <c r="A167" s="58" t="s">
        <v>179</v>
      </c>
      <c r="B167" s="48">
        <f>VLOOKUP(B$19,G$3:W$9,(1+10),0)</f>
        <v>0.85</v>
      </c>
      <c r="C167" s="48">
        <f>VLOOKUP(C$19,G$13:W$19,(1+10),0)</f>
        <v>0.81</v>
      </c>
      <c r="D167" s="48">
        <f>VLOOKUP(D$19,G$23:W$29,(1+10),0)</f>
        <v>0.81</v>
      </c>
      <c r="E167" s="48">
        <f>VLOOKUP(E$19,G$33:W$39,(1+10),0)</f>
        <v>0.85</v>
      </c>
      <c r="K167" s="6"/>
      <c r="P167" s="53"/>
      <c r="U167" s="6"/>
      <c r="W167" s="53"/>
    </row>
    <row r="168" spans="1:23" ht="12.75">
      <c r="A168" s="58" t="s">
        <v>180</v>
      </c>
      <c r="B168" s="48">
        <f>VLOOKUP(B$19,G$3:W$9,(1+11),0)</f>
        <v>0.85</v>
      </c>
      <c r="C168" s="48">
        <f>VLOOKUP(C$19,G$13:W$19,(1+11),0)</f>
        <v>0.8</v>
      </c>
      <c r="D168" s="48">
        <f>VLOOKUP(D$19,G$23:W$29,(1+11),0)</f>
        <v>0.8</v>
      </c>
      <c r="E168" s="48">
        <f>VLOOKUP(E$19,G$33:W$39,(1+11),0)</f>
        <v>0.85</v>
      </c>
      <c r="K168" s="6"/>
      <c r="P168" s="53"/>
      <c r="U168" s="6"/>
      <c r="W168" s="53"/>
    </row>
    <row r="169" spans="1:23" ht="12.75">
      <c r="A169" s="58" t="s">
        <v>181</v>
      </c>
      <c r="B169" s="48">
        <f>VLOOKUP(B$19,G$3:W$9,(1+12),0)</f>
        <v>0.85</v>
      </c>
      <c r="C169" s="48">
        <f>VLOOKUP(C$19,G$13:W$19,(1+12),0)</f>
        <v>0.79</v>
      </c>
      <c r="D169" s="48">
        <f>VLOOKUP(D$19,G$23:W$29,(1+12),0)</f>
        <v>0.79</v>
      </c>
      <c r="E169" s="48">
        <f>VLOOKUP(E$19,G$33:W$39,(1+12),0)</f>
        <v>0.85</v>
      </c>
      <c r="K169" s="6"/>
      <c r="P169" s="53"/>
      <c r="U169" s="6"/>
      <c r="W169" s="53"/>
    </row>
    <row r="170" spans="1:23" ht="12.75">
      <c r="A170" s="58" t="s">
        <v>182</v>
      </c>
      <c r="B170" s="48">
        <f>VLOOKUP(B$19,G$3:W$9,(1+13),0)</f>
        <v>0.85</v>
      </c>
      <c r="C170" s="48">
        <f>VLOOKUP(C$19,G$13:W$19,(1+13),0)</f>
        <v>0.78</v>
      </c>
      <c r="D170" s="48">
        <f>VLOOKUP(D$19,G$23:W$29,(1+13),0)</f>
        <v>0.78</v>
      </c>
      <c r="E170" s="48">
        <f>VLOOKUP(E$19,G$33:W$39,(1+13),0)</f>
        <v>0.85</v>
      </c>
      <c r="K170" s="6"/>
      <c r="P170" s="53"/>
      <c r="U170" s="6"/>
      <c r="W170" s="53"/>
    </row>
    <row r="171" spans="1:23" ht="12.75">
      <c r="A171" s="58" t="s">
        <v>183</v>
      </c>
      <c r="B171" s="48">
        <f>VLOOKUP(B$19,G$3:W$9,(1+14),0)</f>
        <v>0.85</v>
      </c>
      <c r="C171" s="48">
        <f>VLOOKUP(C$19,G$13:W$19,(1+14),0)</f>
        <v>0.77</v>
      </c>
      <c r="D171" s="48">
        <f>VLOOKUP(D$19,G$23:W$29,(1+14),0)</f>
        <v>0.77</v>
      </c>
      <c r="E171" s="48">
        <f>VLOOKUP(E$19,G$33:W$39,(1+14),0)</f>
        <v>0.85</v>
      </c>
      <c r="K171" s="6"/>
      <c r="P171" s="53"/>
      <c r="U171" s="6"/>
      <c r="W171" s="53"/>
    </row>
    <row r="172" spans="1:23" ht="12.75">
      <c r="A172" s="58" t="s">
        <v>184</v>
      </c>
      <c r="B172" s="48">
        <f>VLOOKUP(B$19,G$3:W$9,(1+15),0)</f>
        <v>0.85</v>
      </c>
      <c r="C172" s="48">
        <f>VLOOKUP(C$19,G$13:W$19,(1+15),0)</f>
        <v>0.76</v>
      </c>
      <c r="D172" s="48">
        <f>VLOOKUP(D$19,G$23:W$29,(1+15),0)</f>
        <v>0.76</v>
      </c>
      <c r="E172" s="48">
        <f>VLOOKUP(E$19,G$33:W$39,(1+15),0)</f>
        <v>0.85</v>
      </c>
      <c r="K172" s="6"/>
      <c r="P172" s="53"/>
      <c r="U172" s="6"/>
      <c r="W172" s="53"/>
    </row>
    <row r="173" spans="1:23" ht="12.75">
      <c r="A173" s="58" t="s">
        <v>185</v>
      </c>
      <c r="B173" s="48">
        <f>VLOOKUP(B$19,G$3:W$9,(1+16),0)</f>
        <v>0.847</v>
      </c>
      <c r="C173" s="48">
        <f>VLOOKUP(C$19,G$13:W$19,(1+16),0)</f>
        <v>0.75</v>
      </c>
      <c r="D173" s="48">
        <f>VLOOKUP(D$19,G$23:W$29,(1+16),0)</f>
        <v>0.75</v>
      </c>
      <c r="E173" s="48">
        <f>VLOOKUP(E$19,G$33:W$39,(1+16),0)</f>
        <v>0.847</v>
      </c>
      <c r="K173" s="6"/>
      <c r="P173" s="53"/>
      <c r="U173" s="6"/>
      <c r="W173" s="53"/>
    </row>
    <row r="174" spans="1:23" ht="12.75">
      <c r="A174" s="58" t="s">
        <v>186</v>
      </c>
      <c r="B174" s="99">
        <f>(B$133*(VLOOKUP(B$55,G$44:W$57,(1+1),0)))+(B$133*(VLOOKUP(B$55,G$44:W$57,(2+1),0)))+(B$133*(VLOOKUP(B$55,G$44:W$57,(3+1),0)))+(B$133*(VLOOKUP(B$55,G$44:W$57,(4+1),0)))+(B$133*(VLOOKUP(B$55,G$44:W$57,(5+1),0)))+(B$133*(VLOOKUP(B$55,G$44:W$57,(6+1),0)))+(B$133*(VLOOKUP(B$55,G$44:W$57,(7+1),0)))+(B$133*(VLOOKUP(B$55,G$44:W$57,(8+1),0)))+(B$133*(VLOOKUP(B$55,G$44:W$57,(9+1),0)))+(B$133*(VLOOKUP(B$55,G$44:W$57,(10+1),0)))+(B$133*(VLOOKUP(B$55,G$44:W$57,(11+1),0)))+(B$133*(VLOOKUP(B$55,G$44:W$57,(12+1),0)))+(B$133*(VLOOKUP(B$55,G$44:W$57,(13+1),0)))+(B$133*(VLOOKUP(B$55,G$44:W$57,(14+1),0)))+(B$133*(VLOOKUP(B$55,G$44:W$57,(15+1),0)))+(B$133*(VLOOKUP(B$55,G$44:W$57,(16+1),0)))</f>
        <v>963.6363636363639</v>
      </c>
      <c r="C174" s="99">
        <f>(C$133*(VLOOKUP(C$55,G62:W76,(1+1),0)))+(C$133*(VLOOKUP(C$55,G62:W76,(2+1),0)))+(C$133*(VLOOKUP(C$55,G62:W76,(3+1),0)))+(C$133*(VLOOKUP(C$55,G62:W76,(4+1),0)))+(C$133*(VLOOKUP(C$55,G62:W76,(5+1),0)))+(C$133*(VLOOKUP(C$55,G62:W76,(6+1),0)))+(C$133*(VLOOKUP(C$55,G62:W76,(7+1),0)))+(C$133*(VLOOKUP(C$55,G62:W76,(8+1),0)))+(C$133*(VLOOKUP(C$55,G62:W76,(9+1),0)))+(C$133*(VLOOKUP(C$55,G62:W76,(10+1),0)))+(C$133*(VLOOKUP(C$55,G62:W76,(11+1),0)))+(C$133*(VLOOKUP(C$55,G62:W76,(12+1),0)))+(C$133*(VLOOKUP(C$55,G62:W76,(13+1),0)))+(C$133*(VLOOKUP(C$55,G62:W76,(14+1),0)))+(C$133*(VLOOKUP(C$55,G62:W76,(15+1),0)))+(C$133*(VLOOKUP(C$55,G62:W76,(16+1),0)))</f>
        <v>1088.2666666666669</v>
      </c>
      <c r="D174" s="99">
        <f>(D$133*(VLOOKUP(D$55,G80:W94,(1+1),0)))+(D$133*(VLOOKUP(D$55,G80:W94,(2+1),0)))+(D$133*(VLOOKUP(D$55,G80:W94,(3+1),0)))+(D$133*(VLOOKUP(D$55,G80:W94,(4+1),0)))+(D$133*(VLOOKUP(D$55,G80:W94,(5+1),0)))+(D$133*(VLOOKUP(D$55,G80:W94,(6+1),0)))+(D$133*(VLOOKUP(D$55,G80:W94,(7+1),0)))+(D$133*(VLOOKUP(D$55,G80:W94,(8+1),0)))+(D$133*(VLOOKUP(D$55,G80:W94,(9+1),0)))+(D$133*(VLOOKUP(D$55,G80:W94,(10+1),0)))+(D$133*(VLOOKUP(D$55,G80:W94,(11+1),0)))+(D$133*(VLOOKUP(D$55,G80:W94,(12+1),0)))+(D$133*(VLOOKUP(D$55,G80:W94,(13+1),0)))+(D$133*(VLOOKUP(D$55,G80:W94,(14+1),0)))+(D$133*(VLOOKUP(D$55,G80:W94,(15+1),0)))+(D$133*(VLOOKUP(D$55,G80:W94,(16+1),0)))</f>
        <v>1088.2666666666669</v>
      </c>
      <c r="E174" s="99">
        <f>(E$133*(VLOOKUP(E$55,G99:W113,(1+1),0)))+(E$133*(VLOOKUP(E$55,G99:W113,(2+1),0)))+(E$133*(VLOOKUP(E$55,G99:W113,(3+1),0)))+(E$133*(VLOOKUP(E$55,G99:W113,(4+1),0)))+(E$133*(VLOOKUP(E$55,G99:W113,(5+1),0)))+(E$133*(VLOOKUP(E$55,G99:W113,(6+1),0)))+(E$133*(VLOOKUP(E$55,G99:W113,(7+1),0)))+(E$133*(VLOOKUP(E$55,G99:W113,(8+1),0)))+(E$133*(VLOOKUP(E$55,G99:W113,(9+1),0)))+(E$133*(VLOOKUP(E$55,G99:W113,(10+1),0)))+(E$133*(VLOOKUP(E$55,G99:W113,(11+1),0)))+(E$133*(VLOOKUP(E$55,G99:W113,(12+1),0)))+(E$133*(VLOOKUP(E$55,G99:W113,(13+1),0)))+(E$133*(VLOOKUP(E$55,G99:W113,(14+1),0)))+(E$133*(VLOOKUP(E$55,G99:W113,(15+1),0)))+(E$133*(VLOOKUP(E$55,G99:W113,(16+1),0)))</f>
        <v>963.6363636363639</v>
      </c>
      <c r="K174" s="6"/>
      <c r="P174" s="53"/>
      <c r="U174" s="6"/>
      <c r="W174" s="53"/>
    </row>
    <row r="175" spans="1:23" ht="12.75">
      <c r="A175" s="58" t="s">
        <v>187</v>
      </c>
      <c r="B175" s="100">
        <f>B132</f>
        <v>56</v>
      </c>
      <c r="C175" s="100">
        <f>C132</f>
        <v>56</v>
      </c>
      <c r="D175" s="100">
        <f>D132</f>
        <v>56</v>
      </c>
      <c r="E175" s="100">
        <f>E132</f>
        <v>56</v>
      </c>
      <c r="K175" s="6"/>
      <c r="P175" s="53"/>
      <c r="U175" s="6"/>
      <c r="W175" s="53"/>
    </row>
    <row r="176" spans="1:23" ht="12.75">
      <c r="A176" s="58" t="s">
        <v>188</v>
      </c>
      <c r="B176" s="100">
        <f>B71*B175</f>
        <v>28</v>
      </c>
      <c r="C176" s="100">
        <f>C71*C175</f>
        <v>28</v>
      </c>
      <c r="D176" s="100">
        <f>D71*D175</f>
        <v>28</v>
      </c>
      <c r="E176" s="100">
        <f>E71*E175</f>
        <v>28</v>
      </c>
      <c r="K176" s="6"/>
      <c r="P176" s="53"/>
      <c r="U176" s="6"/>
      <c r="W176" s="53"/>
    </row>
    <row r="177" spans="1:23" ht="12.75">
      <c r="A177" s="58" t="s">
        <v>189</v>
      </c>
      <c r="B177" s="101">
        <f>B174+B175+B176</f>
        <v>1047.636363636364</v>
      </c>
      <c r="C177" s="101">
        <f>C174+C175+C176</f>
        <v>1172.2666666666669</v>
      </c>
      <c r="D177" s="101">
        <f>D174+D175+D176</f>
        <v>1172.2666666666669</v>
      </c>
      <c r="E177" s="101">
        <f>E174+E175+E176</f>
        <v>1047.636363636364</v>
      </c>
      <c r="K177" s="6"/>
      <c r="P177" s="53"/>
      <c r="U177" s="6"/>
      <c r="W177" s="53"/>
    </row>
    <row r="178" spans="1:23" ht="12.75">
      <c r="A178" s="58" t="s">
        <v>190</v>
      </c>
      <c r="B178" s="102">
        <f>(((B27-1)*B132)+(B177)*B57)/(365/B26)</f>
        <v>10.18460772104608</v>
      </c>
      <c r="C178" s="102">
        <f>(((C27-1)*C132)+(C177)*C57)/(365/C26)</f>
        <v>11.14067579908676</v>
      </c>
      <c r="D178" s="102">
        <f>(((D27-1)*D132)+(D177)*D57)/(365/D26)</f>
        <v>11.14067579908676</v>
      </c>
      <c r="E178" s="102">
        <f>(((E27-1)*E132)+(E177)*E57)/(365/E26)</f>
        <v>10.18460772104608</v>
      </c>
      <c r="K178" s="6"/>
      <c r="P178" s="53"/>
      <c r="U178" s="6"/>
      <c r="W178" s="53"/>
    </row>
    <row r="179" spans="1:23" ht="12.75">
      <c r="A179" s="58" t="s">
        <v>191</v>
      </c>
      <c r="B179" s="103">
        <f>B21/21</f>
        <v>0.3333333333333333</v>
      </c>
      <c r="C179" s="103">
        <f>C21/21</f>
        <v>0.3333333333333333</v>
      </c>
      <c r="D179" s="103">
        <f>D21/21</f>
        <v>0.3333333333333333</v>
      </c>
      <c r="E179" s="103">
        <f>E21/21</f>
        <v>0.3333333333333333</v>
      </c>
      <c r="K179" s="6"/>
      <c r="P179" s="53"/>
      <c r="U179" s="6"/>
      <c r="W179" s="53"/>
    </row>
    <row r="180" spans="1:23" ht="12.75">
      <c r="A180" s="58" t="s">
        <v>192</v>
      </c>
      <c r="B180" s="102">
        <f>B178/B179</f>
        <v>30.55382316313824</v>
      </c>
      <c r="C180" s="102">
        <f>C178/C179</f>
        <v>33.42202739726028</v>
      </c>
      <c r="D180" s="102">
        <f>D178/D179</f>
        <v>33.42202739726028</v>
      </c>
      <c r="E180" s="102">
        <f>E178/E179</f>
        <v>30.55382316313824</v>
      </c>
      <c r="K180" s="6"/>
      <c r="P180" s="53"/>
      <c r="U180" s="6"/>
      <c r="W180" s="53"/>
    </row>
    <row r="181" spans="1:23" ht="12.75">
      <c r="A181" s="58" t="s">
        <v>193</v>
      </c>
      <c r="B181" s="102">
        <f>B185-B180</f>
        <v>56.74281444582815</v>
      </c>
      <c r="C181" s="102">
        <f>C185-C180</f>
        <v>62.06947945205479</v>
      </c>
      <c r="D181" s="102">
        <f>D185-D180</f>
        <v>62.06947945205479</v>
      </c>
      <c r="E181" s="102">
        <f>E185-E180</f>
        <v>56.74281444582815</v>
      </c>
      <c r="K181" s="6"/>
      <c r="P181" s="53"/>
      <c r="U181" s="6"/>
      <c r="W181" s="53"/>
    </row>
    <row r="182" spans="1:23" ht="12.75">
      <c r="A182" s="58" t="s">
        <v>194</v>
      </c>
      <c r="B182" s="101">
        <f>B177+B180+B181</f>
        <v>1134.9330012453304</v>
      </c>
      <c r="C182" s="101">
        <f>C177+C180+C181</f>
        <v>1267.758173515982</v>
      </c>
      <c r="D182" s="101">
        <f>D177+D180+D181</f>
        <v>1267.758173515982</v>
      </c>
      <c r="E182" s="101">
        <f>E177+E180+E181</f>
        <v>1134.9330012453304</v>
      </c>
      <c r="K182" s="6"/>
      <c r="P182" s="53"/>
      <c r="U182" s="6"/>
      <c r="W182" s="53"/>
    </row>
    <row r="183" spans="1:23" ht="12.75">
      <c r="A183" s="58" t="s">
        <v>195</v>
      </c>
      <c r="B183" s="100">
        <f>(B27-1)*B132</f>
        <v>112</v>
      </c>
      <c r="C183" s="100">
        <f>(C27-1)*C132</f>
        <v>112</v>
      </c>
      <c r="D183" s="100">
        <f>(D27-1)*D132</f>
        <v>112</v>
      </c>
      <c r="E183" s="100">
        <f>(E27-1)*E132</f>
        <v>112</v>
      </c>
      <c r="K183" s="6"/>
      <c r="P183" s="53"/>
      <c r="U183" s="6"/>
      <c r="W183" s="53"/>
    </row>
    <row r="184" spans="1:23" ht="12.75">
      <c r="A184" s="58" t="s">
        <v>196</v>
      </c>
      <c r="B184" s="100">
        <f>B182+B183</f>
        <v>1246.9330012453304</v>
      </c>
      <c r="C184" s="100">
        <f>C182+C183</f>
        <v>1379.758173515982</v>
      </c>
      <c r="D184" s="100">
        <f>D182+D183</f>
        <v>1379.758173515982</v>
      </c>
      <c r="E184" s="100">
        <f>E182+E183</f>
        <v>1246.9330012453304</v>
      </c>
      <c r="K184" s="6"/>
      <c r="P184" s="53"/>
      <c r="U184" s="6"/>
      <c r="W184" s="53"/>
    </row>
    <row r="185" spans="1:23" ht="12.75">
      <c r="A185" s="58" t="s">
        <v>197</v>
      </c>
      <c r="B185" s="102">
        <f>B178*(B64/B73)</f>
        <v>87.29663760896639</v>
      </c>
      <c r="C185" s="102">
        <f>C178*(C64/C73)</f>
        <v>95.49150684931507</v>
      </c>
      <c r="D185" s="102">
        <f>D178*(D64/D73)</f>
        <v>95.49150684931507</v>
      </c>
      <c r="E185" s="102">
        <f>E178*(E64/E73)</f>
        <v>87.29663760896639</v>
      </c>
      <c r="K185" s="6"/>
      <c r="P185" s="53"/>
      <c r="U185" s="6"/>
      <c r="W185" s="53"/>
    </row>
    <row r="186" spans="1:23" ht="12.75">
      <c r="A186" s="58"/>
      <c r="B186" s="57"/>
      <c r="C186" s="57"/>
      <c r="D186" s="57"/>
      <c r="E186" s="57"/>
      <c r="K186" s="6"/>
      <c r="P186" s="53"/>
      <c r="U186" s="6"/>
      <c r="W186" s="53"/>
    </row>
    <row r="187" spans="1:23" ht="12.75">
      <c r="A187" s="55" t="s">
        <v>198</v>
      </c>
      <c r="B187" s="66">
        <f>B184+B185</f>
        <v>1334.2296388542968</v>
      </c>
      <c r="C187" s="66">
        <f>C184+C185</f>
        <v>1475.249680365297</v>
      </c>
      <c r="D187" s="66">
        <f>D184+D185</f>
        <v>1475.249680365297</v>
      </c>
      <c r="E187" s="66">
        <f>E184+E185</f>
        <v>1334.2296388542968</v>
      </c>
      <c r="K187" s="6"/>
      <c r="P187" s="53"/>
      <c r="U187" s="6"/>
      <c r="W187" s="53"/>
    </row>
    <row r="188" spans="1:23" ht="12.75">
      <c r="A188" s="71"/>
      <c r="B188" s="72"/>
      <c r="C188" s="72"/>
      <c r="D188" s="72"/>
      <c r="E188" s="72"/>
      <c r="K188" s="6"/>
      <c r="P188" s="53"/>
      <c r="U188" s="6"/>
      <c r="W188" s="53"/>
    </row>
    <row r="189" spans="1:23" ht="12.75">
      <c r="A189" s="58"/>
      <c r="B189" s="41" t="str">
        <f aca="true" t="shared" si="2" ref="B189:E190">B7</f>
        <v>Scenario</v>
      </c>
      <c r="C189" s="41" t="str">
        <f t="shared" si="2"/>
        <v>Scenario</v>
      </c>
      <c r="D189" s="41" t="str">
        <f t="shared" si="2"/>
        <v>Scenario</v>
      </c>
      <c r="E189" s="41" t="str">
        <f t="shared" si="2"/>
        <v>Scenario</v>
      </c>
      <c r="K189" s="6"/>
      <c r="P189" s="53"/>
      <c r="U189" s="6"/>
      <c r="W189" s="53"/>
    </row>
    <row r="190" spans="1:23" ht="12.75">
      <c r="A190" s="98" t="s">
        <v>245</v>
      </c>
      <c r="B190" s="41" t="str">
        <f t="shared" si="2"/>
        <v>Natural</v>
      </c>
      <c r="C190" s="41" t="str">
        <f t="shared" si="2"/>
        <v>On-farm</v>
      </c>
      <c r="D190" s="41" t="str">
        <f t="shared" si="2"/>
        <v>Off-farm</v>
      </c>
      <c r="E190" s="41" t="str">
        <f t="shared" si="2"/>
        <v>Commercial</v>
      </c>
      <c r="K190" s="6"/>
      <c r="P190" s="53"/>
      <c r="U190" s="6"/>
      <c r="W190" s="53"/>
    </row>
    <row r="191" spans="1:23" ht="12.75">
      <c r="A191" s="71"/>
      <c r="B191" s="76"/>
      <c r="C191" s="76"/>
      <c r="D191" s="76"/>
      <c r="E191" s="76"/>
      <c r="K191" s="6"/>
      <c r="P191" s="53"/>
      <c r="U191" s="6"/>
      <c r="W191" s="53"/>
    </row>
    <row r="192" spans="1:23" ht="12.75">
      <c r="A192" s="55" t="s">
        <v>244</v>
      </c>
      <c r="B192" s="59"/>
      <c r="C192" s="59"/>
      <c r="D192" s="59"/>
      <c r="E192" s="59"/>
      <c r="K192" s="6"/>
      <c r="P192" s="53"/>
      <c r="U192" s="6"/>
      <c r="W192" s="53"/>
    </row>
    <row r="193" spans="1:23" ht="12.75">
      <c r="A193" s="29" t="s">
        <v>66</v>
      </c>
      <c r="B193" s="30">
        <f>((B184*B57)-(B184*B57*B65))/B184</f>
        <v>0.38</v>
      </c>
      <c r="C193" s="30">
        <f>((C184*C57)-(C184*C57*C65))/C184</f>
        <v>0.38</v>
      </c>
      <c r="D193" s="30">
        <f>((D184*D57)-(D184*D57*D65))/D184</f>
        <v>0.38</v>
      </c>
      <c r="E193" s="30">
        <f>((E184*E57)-(E184*E57*E65))/E184</f>
        <v>0.38</v>
      </c>
      <c r="K193" s="6"/>
      <c r="P193" s="53"/>
      <c r="U193" s="6"/>
      <c r="W193" s="53"/>
    </row>
    <row r="194" spans="1:23" ht="12.75">
      <c r="A194" s="28" t="s">
        <v>242</v>
      </c>
      <c r="B194" s="31">
        <f>B140/B184</f>
        <v>2.341745704928615</v>
      </c>
      <c r="C194" s="31">
        <f>C140/C184</f>
        <v>2.116312884423132</v>
      </c>
      <c r="D194" s="31">
        <f>D140/D184</f>
        <v>2.116312884423132</v>
      </c>
      <c r="E194" s="31">
        <f>E140/E184</f>
        <v>2.341745704928615</v>
      </c>
      <c r="K194" s="6"/>
      <c r="P194" s="53"/>
      <c r="U194" s="6"/>
      <c r="W194" s="53"/>
    </row>
    <row r="195" spans="1:23" ht="12.75">
      <c r="A195" s="58" t="s">
        <v>153</v>
      </c>
      <c r="B195" s="57">
        <f>B140/B134</f>
        <v>56</v>
      </c>
      <c r="C195" s="57">
        <f>C140/C134</f>
        <v>56</v>
      </c>
      <c r="D195" s="57">
        <f>D140/D134</f>
        <v>56</v>
      </c>
      <c r="E195" s="57">
        <f>E140/E134</f>
        <v>56</v>
      </c>
      <c r="K195" s="6"/>
      <c r="P195" s="53"/>
      <c r="U195" s="6"/>
      <c r="W195" s="53"/>
    </row>
    <row r="196" spans="1:23" ht="12.75">
      <c r="A196" s="58" t="s">
        <v>154</v>
      </c>
      <c r="B196" s="57">
        <f>(((1-B15)*B195)*B13)+((B15*B195)*B14)</f>
        <v>576.8</v>
      </c>
      <c r="C196" s="57">
        <f>(((1-C15)*C195)*C13)+((C15*C195)*C14)</f>
        <v>551.6</v>
      </c>
      <c r="D196" s="57">
        <f>(((1-D15)*D195)*D13)+((D15*D195)*D14)</f>
        <v>551.6</v>
      </c>
      <c r="E196" s="57">
        <f>(((1-E15)*E195)*E13)+((E15*E195)*E14)</f>
        <v>576.8</v>
      </c>
      <c r="K196" s="6"/>
      <c r="P196" s="53"/>
      <c r="U196" s="6"/>
      <c r="W196" s="53"/>
    </row>
    <row r="197" spans="1:23" ht="12.75">
      <c r="A197" s="58" t="s">
        <v>152</v>
      </c>
      <c r="B197" s="60">
        <f>B196/B195</f>
        <v>10.299999999999999</v>
      </c>
      <c r="C197" s="60">
        <f>C196/C195</f>
        <v>9.85</v>
      </c>
      <c r="D197" s="60">
        <f>D196/D195</f>
        <v>9.85</v>
      </c>
      <c r="E197" s="60">
        <f>E196/E195</f>
        <v>10.299999999999999</v>
      </c>
      <c r="K197" s="6"/>
      <c r="P197" s="53"/>
      <c r="U197" s="6"/>
      <c r="W197" s="53"/>
    </row>
    <row r="198" spans="1:23" ht="12.75">
      <c r="A198" s="58" t="s">
        <v>155</v>
      </c>
      <c r="B198" s="57">
        <f>((((1-B15)*B195)*B13)*B16)+(((B15*B195)*B14)*B16)</f>
        <v>522.0039999999999</v>
      </c>
      <c r="C198" s="57">
        <f>((((1-C15)*C195)*C13)*C16)+(((C15*C195)*C14)*C16)</f>
        <v>499.198</v>
      </c>
      <c r="D198" s="57">
        <f>((((1-D15)*D195)*D13)*D16)+(((D15*D195)*D14)*D16)</f>
        <v>499.198</v>
      </c>
      <c r="E198" s="57">
        <f>((((1-E15)*E195)*E13)*E16)+(((E15*E195)*E14)*E16)</f>
        <v>522.0039999999999</v>
      </c>
      <c r="K198" s="6"/>
      <c r="P198" s="53"/>
      <c r="U198" s="6"/>
      <c r="W198" s="53"/>
    </row>
    <row r="199" spans="1:23" ht="12.75">
      <c r="A199" s="58" t="s">
        <v>156</v>
      </c>
      <c r="B199" s="60">
        <f>B198/B195</f>
        <v>9.321499999999999</v>
      </c>
      <c r="C199" s="60">
        <f>C198/C195</f>
        <v>8.91425</v>
      </c>
      <c r="D199" s="60">
        <f>D198/D195</f>
        <v>8.91425</v>
      </c>
      <c r="E199" s="60">
        <f>E198/E195</f>
        <v>9.321499999999999</v>
      </c>
      <c r="K199" s="6"/>
      <c r="P199" s="53"/>
      <c r="U199" s="6"/>
      <c r="W199" s="53"/>
    </row>
    <row r="200" spans="1:23" ht="12.75">
      <c r="A200" s="58" t="s">
        <v>158</v>
      </c>
      <c r="B200" s="57">
        <f>B198*B134</f>
        <v>27218.779999999995</v>
      </c>
      <c r="C200" s="57">
        <f>C198*C134</f>
        <v>26029.61</v>
      </c>
      <c r="D200" s="57">
        <f>D198*D134</f>
        <v>26029.61</v>
      </c>
      <c r="E200" s="57">
        <f>E198*E134</f>
        <v>27218.779999999995</v>
      </c>
      <c r="K200" s="6"/>
      <c r="P200" s="53"/>
      <c r="U200" s="6"/>
      <c r="W200" s="53"/>
    </row>
    <row r="201" spans="1:23" ht="12.75">
      <c r="A201" s="58" t="s">
        <v>253</v>
      </c>
      <c r="B201" s="57">
        <f>B79*B200</f>
        <v>326625.3599999999</v>
      </c>
      <c r="C201" s="57">
        <f>C79*C200</f>
        <v>312355.32</v>
      </c>
      <c r="D201" s="57">
        <f>D79*D200</f>
        <v>312355.32</v>
      </c>
      <c r="E201" s="57">
        <f>E79*E200</f>
        <v>326625.3599999999</v>
      </c>
      <c r="K201" s="6"/>
      <c r="P201" s="53"/>
      <c r="U201" s="6"/>
      <c r="W201" s="53"/>
    </row>
    <row r="202" spans="1:23" ht="12.75">
      <c r="A202" s="55" t="s">
        <v>67</v>
      </c>
      <c r="B202" s="61">
        <f>B79*B200*B80</f>
        <v>816563.3999999998</v>
      </c>
      <c r="C202" s="61">
        <f>C79*C200*C80</f>
        <v>780888.3</v>
      </c>
      <c r="D202" s="61">
        <f>D79*D200*D80</f>
        <v>780888.3</v>
      </c>
      <c r="E202" s="61">
        <f>E79*E200*E80</f>
        <v>816563.3999999998</v>
      </c>
      <c r="K202" s="6"/>
      <c r="P202" s="53"/>
      <c r="U202" s="6"/>
      <c r="W202" s="53"/>
    </row>
    <row r="203" spans="1:23" ht="12.75">
      <c r="A203" s="26"/>
      <c r="B203" s="10"/>
      <c r="C203" s="10"/>
      <c r="D203" s="10"/>
      <c r="E203" s="10"/>
      <c r="K203" s="6"/>
      <c r="P203" s="53"/>
      <c r="U203" s="6"/>
      <c r="W203" s="53"/>
    </row>
    <row r="204" spans="1:23" ht="12.75">
      <c r="A204" s="28" t="s">
        <v>295</v>
      </c>
      <c r="B204" s="32">
        <f>((+B81-B61)*B193*B184)+((B184*B57)*B65)*B66-((B184*B76)*B77)</f>
        <v>80427.1785803238</v>
      </c>
      <c r="C204" s="32">
        <f>((+C81-C61)*C193*C184)+((C184*C57)*C65)*C66-((C184*C76)*C77)</f>
        <v>88994.40219178083</v>
      </c>
      <c r="D204" s="32">
        <f>((+D81-D61)*D193*D184)+((D184*D57)*D65)*D66-((D184*D76)*D77)</f>
        <v>88994.40219178083</v>
      </c>
      <c r="E204" s="32">
        <f>((+E81-E61)*E193*E184)+((E184*E57)*E65)*E66-((E184*E76)*E77)</f>
        <v>80427.1785803238</v>
      </c>
      <c r="K204" s="6"/>
      <c r="P204" s="53"/>
      <c r="U204" s="6"/>
      <c r="W204" s="53"/>
    </row>
    <row r="205" spans="1:23" ht="12.75">
      <c r="A205" s="28" t="s">
        <v>68</v>
      </c>
      <c r="B205" s="36">
        <f>B82</f>
        <v>0.28</v>
      </c>
      <c r="C205" s="36">
        <f>C82</f>
        <v>0.28</v>
      </c>
      <c r="D205" s="36">
        <f>D82</f>
        <v>0.28</v>
      </c>
      <c r="E205" s="36">
        <f>E82</f>
        <v>0.28</v>
      </c>
      <c r="K205" s="6"/>
      <c r="P205" s="53"/>
      <c r="U205" s="6"/>
      <c r="W205" s="53"/>
    </row>
    <row r="206" spans="1:23" ht="12.75">
      <c r="A206" s="34" t="s">
        <v>69</v>
      </c>
      <c r="B206" s="35">
        <f>B204*B205</f>
        <v>22519.610002490666</v>
      </c>
      <c r="C206" s="35">
        <f>C204*C205</f>
        <v>24918.432613698635</v>
      </c>
      <c r="D206" s="35">
        <f>D204*D205</f>
        <v>24918.432613698635</v>
      </c>
      <c r="E206" s="35">
        <f>E204*E205</f>
        <v>22519.610002490666</v>
      </c>
      <c r="K206" s="6"/>
      <c r="P206" s="53"/>
      <c r="U206" s="6"/>
      <c r="W206" s="53"/>
    </row>
    <row r="207" spans="1:23" ht="12.75">
      <c r="A207" s="26"/>
      <c r="B207" s="10"/>
      <c r="C207" s="10"/>
      <c r="D207" s="10"/>
      <c r="E207" s="10"/>
      <c r="K207" s="6"/>
      <c r="P207" s="53"/>
      <c r="U207" s="6"/>
      <c r="W207" s="53"/>
    </row>
    <row r="208" spans="1:23" ht="12.75">
      <c r="A208" s="28" t="s">
        <v>70</v>
      </c>
      <c r="B208" s="32">
        <f>(B10-((B194*114)+(B194*B74)))*B87*B184</f>
        <v>392252.7272727282</v>
      </c>
      <c r="C208" s="32">
        <f>(C10-((C194*114)+(C194*C74)))*C87*C184</f>
        <v>634658.6666666673</v>
      </c>
      <c r="D208" s="32">
        <f>(D10-((D194*114)+(D194*D74)))*D87*D184</f>
        <v>634658.6666666673</v>
      </c>
      <c r="E208" s="32">
        <f>(E10-((E194*114)+(E194*E74)))*E87*E184</f>
        <v>392252.7272727282</v>
      </c>
      <c r="K208" s="6"/>
      <c r="P208" s="53"/>
      <c r="U208" s="6"/>
      <c r="W208" s="53"/>
    </row>
    <row r="209" spans="1:23" ht="12.75">
      <c r="A209" s="34" t="s">
        <v>71</v>
      </c>
      <c r="B209" s="35">
        <f>(B208*B83)</f>
        <v>21573.900000000052</v>
      </c>
      <c r="C209" s="35">
        <f>(C208*C83)</f>
        <v>34906.226666666706</v>
      </c>
      <c r="D209" s="35">
        <f>(D208*D83)</f>
        <v>34906.226666666706</v>
      </c>
      <c r="E209" s="35">
        <f>(E208*E83)</f>
        <v>21573.900000000052</v>
      </c>
      <c r="K209" s="6"/>
      <c r="P209" s="53"/>
      <c r="U209" s="6"/>
      <c r="W209" s="53"/>
    </row>
    <row r="210" spans="1:23" ht="12.75">
      <c r="A210" s="28" t="s">
        <v>72</v>
      </c>
      <c r="B210" s="32">
        <f>B194*114*B88*B184</f>
        <v>1664399.9999999998</v>
      </c>
      <c r="C210" s="32">
        <f>C194*114*C88*C184</f>
        <v>1664400</v>
      </c>
      <c r="D210" s="32">
        <f>D194*114*D88*D184</f>
        <v>1664400</v>
      </c>
      <c r="E210" s="32">
        <f>E194*114*E88*E184</f>
        <v>1664399.9999999998</v>
      </c>
      <c r="K210" s="6"/>
      <c r="P210" s="53"/>
      <c r="U210" s="6"/>
      <c r="W210" s="53"/>
    </row>
    <row r="211" spans="1:23" ht="12.75">
      <c r="A211" s="34" t="s">
        <v>73</v>
      </c>
      <c r="B211" s="35">
        <f>B210*B83</f>
        <v>91541.99999999999</v>
      </c>
      <c r="C211" s="35">
        <f>C210*C83</f>
        <v>91542</v>
      </c>
      <c r="D211" s="35">
        <f>D210*D83</f>
        <v>91542</v>
      </c>
      <c r="E211" s="35">
        <f>E210*E83</f>
        <v>91541.99999999999</v>
      </c>
      <c r="K211" s="6"/>
      <c r="P211" s="53"/>
      <c r="U211" s="6"/>
      <c r="W211" s="53"/>
    </row>
    <row r="212" spans="1:23" ht="12.75">
      <c r="A212" s="28" t="s">
        <v>74</v>
      </c>
      <c r="B212" s="6">
        <f>B194*B74*B89*B184</f>
        <v>569400</v>
      </c>
      <c r="C212" s="6">
        <f>C194*C74*C89*C184</f>
        <v>569400</v>
      </c>
      <c r="D212" s="6">
        <f>D194*D74*D89*D184</f>
        <v>569400</v>
      </c>
      <c r="E212" s="6">
        <f>E194*E74*E89*E184</f>
        <v>569400</v>
      </c>
      <c r="K212" s="6"/>
      <c r="P212" s="53"/>
      <c r="U212" s="6"/>
      <c r="W212" s="53"/>
    </row>
    <row r="213" spans="1:23" ht="12.75">
      <c r="A213" s="34" t="s">
        <v>75</v>
      </c>
      <c r="B213" s="35">
        <f>(B212*B84)</f>
        <v>31886.4</v>
      </c>
      <c r="C213" s="35">
        <f>(C212*C84)</f>
        <v>31886.4</v>
      </c>
      <c r="D213" s="35">
        <f>(D212*D84)</f>
        <v>31886.4</v>
      </c>
      <c r="E213" s="35">
        <f>(E212*E84)</f>
        <v>31886.4</v>
      </c>
      <c r="K213" s="6"/>
      <c r="P213" s="53"/>
      <c r="U213" s="6"/>
      <c r="W213" s="53"/>
    </row>
    <row r="214" spans="1:23" ht="12.75">
      <c r="A214" s="28" t="s">
        <v>76</v>
      </c>
      <c r="B214" s="32">
        <f>(B90*B155*B10)</f>
        <v>9559.681818181822</v>
      </c>
      <c r="C214" s="32">
        <f>(C90*C155*C10)</f>
        <v>13422.26666666667</v>
      </c>
      <c r="D214" s="32">
        <f>(D90*D155*D10)</f>
        <v>13422.26666666667</v>
      </c>
      <c r="E214" s="32">
        <f>(E90*E155*E10)</f>
        <v>9559.681818181822</v>
      </c>
      <c r="K214" s="6"/>
      <c r="P214" s="53"/>
      <c r="U214" s="6"/>
      <c r="W214" s="53"/>
    </row>
    <row r="215" spans="1:23" ht="12.75">
      <c r="A215" s="28" t="s">
        <v>77</v>
      </c>
      <c r="B215" s="37">
        <f>(B214*B85)</f>
        <v>525.7825000000001</v>
      </c>
      <c r="C215" s="37">
        <f>(C214*C85)</f>
        <v>738.2246666666668</v>
      </c>
      <c r="D215" s="37">
        <f>(D214*D85)</f>
        <v>738.2246666666668</v>
      </c>
      <c r="E215" s="37">
        <f>(E214*E85)</f>
        <v>525.7825000000001</v>
      </c>
      <c r="K215" s="6"/>
      <c r="P215" s="53"/>
      <c r="U215" s="6"/>
      <c r="W215" s="53"/>
    </row>
    <row r="216" spans="1:23" ht="12.75">
      <c r="A216" s="54" t="s">
        <v>283</v>
      </c>
      <c r="B216" s="57">
        <f>((B147+B148)*B90*B10)</f>
        <v>54750</v>
      </c>
      <c r="C216" s="57">
        <f>((C147+C148)*C90*C10)</f>
        <v>10950</v>
      </c>
      <c r="D216" s="57">
        <f>((D147+D148)*D90*D10)</f>
        <v>0</v>
      </c>
      <c r="E216" s="57">
        <f>((E147+E148)*E90*E10)</f>
        <v>0</v>
      </c>
      <c r="K216" s="6"/>
      <c r="P216" s="53"/>
      <c r="U216" s="6"/>
      <c r="W216" s="53"/>
    </row>
    <row r="217" spans="1:23" ht="12.75">
      <c r="A217" s="54" t="s">
        <v>284</v>
      </c>
      <c r="B217" s="42">
        <f>B85*B216</f>
        <v>3011.25</v>
      </c>
      <c r="C217" s="42">
        <f>C85*C216</f>
        <v>602.25</v>
      </c>
      <c r="D217" s="42">
        <f>D85*D216</f>
        <v>0</v>
      </c>
      <c r="E217" s="42">
        <f>E85*E216</f>
        <v>0</v>
      </c>
      <c r="K217" s="6"/>
      <c r="P217" s="53"/>
      <c r="U217" s="6"/>
      <c r="W217" s="53"/>
    </row>
    <row r="218" spans="1:23" ht="12.75">
      <c r="A218" s="55" t="s">
        <v>78</v>
      </c>
      <c r="B218" s="62">
        <f>B215+B217</f>
        <v>3537.0325000000003</v>
      </c>
      <c r="C218" s="62">
        <f>C215+C217</f>
        <v>1340.474666666667</v>
      </c>
      <c r="D218" s="62">
        <f>D215+D217</f>
        <v>738.2246666666668</v>
      </c>
      <c r="E218" s="62">
        <f>E215+E217</f>
        <v>525.7825000000001</v>
      </c>
      <c r="K218" s="6"/>
      <c r="P218" s="53"/>
      <c r="U218" s="6"/>
      <c r="W218" s="53"/>
    </row>
    <row r="219" spans="1:23" ht="12.75">
      <c r="A219" s="28" t="s">
        <v>79</v>
      </c>
      <c r="B219" s="32">
        <f>B208+B210+B212+B214</f>
        <v>2635612.4090909096</v>
      </c>
      <c r="C219" s="32">
        <f>C208+C210+C212+C214</f>
        <v>2881880.933333334</v>
      </c>
      <c r="D219" s="32">
        <f>D208+D210+D212+D214</f>
        <v>2881880.933333334</v>
      </c>
      <c r="E219" s="32">
        <f>E208+E210+E212+E214</f>
        <v>2635612.4090909096</v>
      </c>
      <c r="K219" s="6"/>
      <c r="O219" s="8"/>
      <c r="P219" s="53"/>
      <c r="U219" s="6"/>
      <c r="W219" s="53"/>
    </row>
    <row r="220" spans="1:23" ht="12.75">
      <c r="A220" s="28" t="s">
        <v>80</v>
      </c>
      <c r="B220" s="37">
        <f>(B209+B211+B213+B215+B217)</f>
        <v>148539.33250000005</v>
      </c>
      <c r="C220" s="37">
        <f>(C209+C211+C213+C215+C217)</f>
        <v>159675.10133333338</v>
      </c>
      <c r="D220" s="37">
        <f>(D209+D211+D213+D215+D217)</f>
        <v>159072.85133333338</v>
      </c>
      <c r="E220" s="37">
        <f>(E209+E211+E213+E215+E217)</f>
        <v>145528.08250000005</v>
      </c>
      <c r="K220" s="6"/>
      <c r="P220" s="53"/>
      <c r="U220" s="6"/>
      <c r="W220" s="53"/>
    </row>
    <row r="221" spans="1:23" ht="12.75">
      <c r="A221" s="28" t="s">
        <v>81</v>
      </c>
      <c r="B221" s="37">
        <f>(B220/(B219/2000))</f>
        <v>112.71712941375554</v>
      </c>
      <c r="C221" s="37">
        <f>(C220/(C219/2000))</f>
        <v>110.81311478656046</v>
      </c>
      <c r="D221" s="37">
        <f>(D220/(D219/2000))</f>
        <v>110.39515858786116</v>
      </c>
      <c r="E221" s="37">
        <f>(E220/(E219/2000))</f>
        <v>110.43208174163698</v>
      </c>
      <c r="K221" s="6"/>
      <c r="P221" s="53"/>
      <c r="U221" s="6"/>
      <c r="W221" s="53"/>
    </row>
    <row r="222" spans="1:23" ht="12.75">
      <c r="A222" s="28" t="s">
        <v>82</v>
      </c>
      <c r="B222" s="31">
        <f>B219/(B201+B204)</f>
        <v>6.474870340529331</v>
      </c>
      <c r="C222" s="31">
        <f>C219/(C201+C204)</f>
        <v>7.180473223191262</v>
      </c>
      <c r="D222" s="31">
        <f>D219/(D201+D204)</f>
        <v>7.180473223191262</v>
      </c>
      <c r="E222" s="31">
        <f>E219/(E201+E204)</f>
        <v>6.474870340529331</v>
      </c>
      <c r="K222" s="6"/>
      <c r="P222" s="53"/>
      <c r="U222" s="6"/>
      <c r="W222" s="53"/>
    </row>
    <row r="223" spans="1:23" ht="12.75">
      <c r="A223" s="28" t="s">
        <v>83</v>
      </c>
      <c r="B223" s="38">
        <f>B219/B200</f>
        <v>96.83065916587408</v>
      </c>
      <c r="C223" s="38">
        <f>C219/C200</f>
        <v>110.71548645305612</v>
      </c>
      <c r="D223" s="38">
        <f>D219/D200</f>
        <v>110.71548645305612</v>
      </c>
      <c r="E223" s="38">
        <f>E219/E200</f>
        <v>96.83065916587408</v>
      </c>
      <c r="K223" s="6"/>
      <c r="P223" s="53"/>
      <c r="U223" s="6"/>
      <c r="W223" s="53"/>
    </row>
    <row r="224" spans="1:23" ht="12.75">
      <c r="A224" s="26"/>
      <c r="B224" s="10"/>
      <c r="C224" s="10"/>
      <c r="D224" s="10"/>
      <c r="E224" s="10"/>
      <c r="K224" s="6"/>
      <c r="P224" s="53"/>
      <c r="U224" s="6"/>
      <c r="W224" s="53"/>
    </row>
    <row r="225" spans="1:23" ht="12.75">
      <c r="A225" s="28" t="s">
        <v>84</v>
      </c>
      <c r="B225" s="37">
        <f>B202</f>
        <v>816563.3999999998</v>
      </c>
      <c r="C225" s="37">
        <f>C202</f>
        <v>780888.3</v>
      </c>
      <c r="D225" s="37">
        <f>D202</f>
        <v>780888.3</v>
      </c>
      <c r="E225" s="37">
        <f>E202</f>
        <v>816563.3999999998</v>
      </c>
      <c r="K225" s="6"/>
      <c r="P225" s="53"/>
      <c r="U225" s="6"/>
      <c r="W225" s="53"/>
    </row>
    <row r="226" spans="1:23" ht="12.75">
      <c r="A226" s="28" t="s">
        <v>69</v>
      </c>
      <c r="B226" s="37">
        <f>B206</f>
        <v>22519.610002490666</v>
      </c>
      <c r="C226" s="37">
        <f>C206</f>
        <v>24918.432613698635</v>
      </c>
      <c r="D226" s="37">
        <f>D206</f>
        <v>24918.432613698635</v>
      </c>
      <c r="E226" s="37">
        <f>E206</f>
        <v>22519.610002490666</v>
      </c>
      <c r="K226" s="6"/>
      <c r="P226" s="53"/>
      <c r="U226" s="6"/>
      <c r="W226" s="53"/>
    </row>
    <row r="227" spans="1:23" ht="12.75">
      <c r="A227" s="34" t="s">
        <v>85</v>
      </c>
      <c r="B227" s="35">
        <f>B225+B226</f>
        <v>839083.0100024905</v>
      </c>
      <c r="C227" s="35">
        <f>C225+C226</f>
        <v>805806.7326136987</v>
      </c>
      <c r="D227" s="35">
        <f>D225+D226</f>
        <v>805806.7326136987</v>
      </c>
      <c r="E227" s="35">
        <f>E225+E226</f>
        <v>839083.0100024905</v>
      </c>
      <c r="K227" s="6"/>
      <c r="P227" s="53"/>
      <c r="U227" s="6"/>
      <c r="W227" s="53"/>
    </row>
    <row r="228" spans="1:23" ht="12.75">
      <c r="A228" s="26"/>
      <c r="B228" s="10"/>
      <c r="C228" s="10"/>
      <c r="D228" s="10"/>
      <c r="E228" s="10"/>
      <c r="K228" s="6"/>
      <c r="Q228" s="6"/>
      <c r="R228" s="6"/>
      <c r="S228" s="6"/>
      <c r="U228" s="6"/>
      <c r="W228" s="53"/>
    </row>
    <row r="229" spans="1:23" ht="12.75">
      <c r="A229" s="28" t="s">
        <v>86</v>
      </c>
      <c r="B229" s="37">
        <f>B227</f>
        <v>839083.0100024905</v>
      </c>
      <c r="C229" s="37">
        <f>C227</f>
        <v>805806.7326136987</v>
      </c>
      <c r="D229" s="37">
        <f>D227</f>
        <v>805806.7326136987</v>
      </c>
      <c r="E229" s="37">
        <f>E227</f>
        <v>839083.0100024905</v>
      </c>
      <c r="K229" s="6"/>
      <c r="Q229" s="6"/>
      <c r="R229" s="6"/>
      <c r="S229" s="6"/>
      <c r="U229" s="6"/>
      <c r="W229" s="53"/>
    </row>
    <row r="230" spans="1:23" ht="12.75">
      <c r="A230" s="28" t="s">
        <v>87</v>
      </c>
      <c r="B230" s="37">
        <f>B220</f>
        <v>148539.33250000005</v>
      </c>
      <c r="C230" s="37">
        <f>C220</f>
        <v>159675.10133333338</v>
      </c>
      <c r="D230" s="37">
        <f>D220</f>
        <v>159072.85133333338</v>
      </c>
      <c r="E230" s="37">
        <f>E220</f>
        <v>145528.08250000005</v>
      </c>
      <c r="K230" s="6"/>
      <c r="P230" s="53"/>
      <c r="U230" s="6"/>
      <c r="W230" s="53"/>
    </row>
    <row r="231" spans="1:23" ht="12.75">
      <c r="A231" s="34" t="s">
        <v>88</v>
      </c>
      <c r="B231" s="35">
        <f>B229-B230</f>
        <v>690543.6775024905</v>
      </c>
      <c r="C231" s="35">
        <f>C229-C230</f>
        <v>646131.6312803653</v>
      </c>
      <c r="D231" s="35">
        <f>D229-D230</f>
        <v>646733.8812803653</v>
      </c>
      <c r="E231" s="35">
        <f>E229-E230</f>
        <v>693554.9275024905</v>
      </c>
      <c r="K231" s="6"/>
      <c r="P231" s="53"/>
      <c r="U231" s="6"/>
      <c r="W231" s="53"/>
    </row>
    <row r="232" spans="1:23" ht="12.75">
      <c r="A232" s="26"/>
      <c r="B232" s="10"/>
      <c r="C232" s="10"/>
      <c r="D232" s="10"/>
      <c r="E232" s="10"/>
      <c r="K232" s="6"/>
      <c r="P232" s="53"/>
      <c r="U232" s="6"/>
      <c r="W232" s="53"/>
    </row>
    <row r="233" spans="1:23" ht="12.75">
      <c r="A233" s="28" t="s">
        <v>89</v>
      </c>
      <c r="B233" s="38">
        <f>((B184*B193)/(365/B73))</f>
        <v>9.087237762500216</v>
      </c>
      <c r="C233" s="38">
        <f>((C184*C193)/(365/C73))</f>
        <v>10.055223949458936</v>
      </c>
      <c r="D233" s="38">
        <f>((D184*D193)/(365/D73))</f>
        <v>10.055223949458936</v>
      </c>
      <c r="E233" s="38">
        <f>((E184*E193)/(365/E73))</f>
        <v>9.087237762500216</v>
      </c>
      <c r="K233" s="6"/>
      <c r="P233" s="53"/>
      <c r="U233" s="6"/>
      <c r="W233" s="53"/>
    </row>
    <row r="234" spans="1:23" ht="12.75">
      <c r="A234" s="28" t="s">
        <v>90</v>
      </c>
      <c r="B234" s="32">
        <f>((B184*B193)/(365/B73))/(B63/21)</f>
        <v>27.261713287500648</v>
      </c>
      <c r="C234" s="32">
        <f>((C184*C193)/(365/C73))/(C63/21)</f>
        <v>30.16567184837681</v>
      </c>
      <c r="D234" s="32">
        <f>((D184*D193)/(365/D73))/(D63/21)</f>
        <v>30.16567184837681</v>
      </c>
      <c r="E234" s="32">
        <f>((E184*E193)/(365/E73))/(E63/21)</f>
        <v>27.261713287500648</v>
      </c>
      <c r="K234" s="6"/>
      <c r="P234" s="53"/>
      <c r="U234" s="6"/>
      <c r="W234" s="53"/>
    </row>
    <row r="235" spans="1:23" ht="12.75">
      <c r="A235" s="28" t="s">
        <v>274</v>
      </c>
      <c r="B235" s="32">
        <f>(B233*B64)/B73</f>
        <v>77.89060939285899</v>
      </c>
      <c r="C235" s="32">
        <f>(C233*C64)/C73</f>
        <v>86.18763385250517</v>
      </c>
      <c r="D235" s="32">
        <f>(D233*D64)/D73</f>
        <v>86.18763385250517</v>
      </c>
      <c r="E235" s="32">
        <f>(E233*E64)/E73</f>
        <v>77.89060939285899</v>
      </c>
      <c r="K235" s="6"/>
      <c r="P235" s="53"/>
      <c r="U235" s="6"/>
      <c r="W235" s="53"/>
    </row>
    <row r="236" spans="1:23" ht="12.75">
      <c r="A236" s="28" t="s">
        <v>91</v>
      </c>
      <c r="B236" s="32">
        <f>B233*(365/B26)*B65+(B233*(365/B26))</f>
        <v>497.5262674968868</v>
      </c>
      <c r="C236" s="32">
        <f>C233*(365/C26)*C65+(C233*(365/C26))</f>
        <v>550.5235112328768</v>
      </c>
      <c r="D236" s="32">
        <f>D233*(365/D26)*D65+(D233*(365/D26))</f>
        <v>550.5235112328768</v>
      </c>
      <c r="E236" s="32">
        <f>E233*(365/E26)*E65+(E233*(365/E26))</f>
        <v>497.5262674968868</v>
      </c>
      <c r="K236" s="6"/>
      <c r="P236" s="53"/>
      <c r="U236" s="6"/>
      <c r="W236" s="53"/>
    </row>
    <row r="237" spans="1:23" ht="12.75">
      <c r="A237" s="28" t="s">
        <v>273</v>
      </c>
      <c r="B237" s="32">
        <f>(B233*(B10/B26)*B65)+(B233*(B10/B26))</f>
        <v>497.5262674968868</v>
      </c>
      <c r="C237" s="32">
        <f>(C233*(C10/C26)*C65)+(C233*(C10/C26))</f>
        <v>550.5235112328768</v>
      </c>
      <c r="D237" s="32">
        <f>(D233*(D10/D26)*D65)+(D233*(D10/D26))</f>
        <v>550.5235112328768</v>
      </c>
      <c r="E237" s="32">
        <f>(E233*(E10/E26)*E65)+(E233*(E10/E26))</f>
        <v>497.5262674968868</v>
      </c>
      <c r="K237" s="6"/>
      <c r="P237" s="53"/>
      <c r="U237" s="6"/>
      <c r="W237" s="53"/>
    </row>
    <row r="238" spans="1:23" ht="12.75">
      <c r="A238" s="34" t="s">
        <v>92</v>
      </c>
      <c r="B238" s="35">
        <f>(B236*B60)</f>
        <v>49752.62674968868</v>
      </c>
      <c r="C238" s="35">
        <f>(C236*C60)</f>
        <v>55052.35112328768</v>
      </c>
      <c r="D238" s="35">
        <f>(D236*D60)</f>
        <v>55052.35112328768</v>
      </c>
      <c r="E238" s="35">
        <f>(E236*E60)</f>
        <v>49752.62674968868</v>
      </c>
      <c r="K238" s="6"/>
      <c r="P238" s="53"/>
      <c r="U238" s="6"/>
      <c r="W238" s="53"/>
    </row>
    <row r="239" spans="1:23" ht="12.75">
      <c r="A239" s="39"/>
      <c r="B239" s="40"/>
      <c r="C239" s="40"/>
      <c r="D239" s="40"/>
      <c r="E239" s="40"/>
      <c r="K239" s="6"/>
      <c r="P239" s="53"/>
      <c r="U239" s="6"/>
      <c r="W239" s="53"/>
    </row>
    <row r="240" spans="1:23" ht="12.75">
      <c r="A240" s="34" t="s">
        <v>93</v>
      </c>
      <c r="B240" s="35">
        <f>(B231-B238)</f>
        <v>640791.0507528018</v>
      </c>
      <c r="C240" s="35">
        <f>(C231-C238)</f>
        <v>591079.2801570776</v>
      </c>
      <c r="D240" s="35">
        <f>(D231-D238)</f>
        <v>591681.5301570776</v>
      </c>
      <c r="E240" s="35">
        <f>(E231-E238)</f>
        <v>643802.3007528018</v>
      </c>
      <c r="K240" s="6"/>
      <c r="P240" s="53"/>
      <c r="U240" s="6"/>
      <c r="W240" s="53"/>
    </row>
    <row r="241" spans="1:23" ht="12.75">
      <c r="A241" s="26"/>
      <c r="B241" s="10"/>
      <c r="C241" s="10"/>
      <c r="D241" s="10"/>
      <c r="E241" s="10"/>
      <c r="K241" s="6"/>
      <c r="P241" s="53"/>
      <c r="U241" s="6"/>
      <c r="W241" s="53"/>
    </row>
    <row r="242" spans="1:23" ht="12.75">
      <c r="A242" s="54" t="s">
        <v>299</v>
      </c>
      <c r="B242" s="98" t="str">
        <f>B8</f>
        <v>Natural</v>
      </c>
      <c r="C242" s="98" t="str">
        <f>C8</f>
        <v>On-farm</v>
      </c>
      <c r="D242" s="98" t="str">
        <f>D8</f>
        <v>Off-farm</v>
      </c>
      <c r="E242" s="98" t="str">
        <f>E8</f>
        <v>Commercial</v>
      </c>
      <c r="K242" s="6"/>
      <c r="P242" s="53"/>
      <c r="U242" s="6"/>
      <c r="W242" s="53"/>
    </row>
    <row r="243" spans="1:23" ht="12.75">
      <c r="A243" s="45" t="s">
        <v>296</v>
      </c>
      <c r="B243" s="60">
        <f>IF(B144&gt;0,((B147*((B42-B44)*(B10/(B43*30.4))))/B136),0)</f>
        <v>2.285541735197368</v>
      </c>
      <c r="C243" s="60">
        <f>IF(C144&gt;0,((C147*((C42-C44)*(C10/(C43*30.4))))/C136),0)</f>
        <v>0</v>
      </c>
      <c r="D243" s="60">
        <f>IF(D144&gt;0,((D147*((D42-D44)*(D10/(D43*30.4))))/D136),0)</f>
        <v>0</v>
      </c>
      <c r="E243" s="60">
        <f>IF(E144&gt;0,((E147*((E42-E44)*(E10/(E43*30.4))))/E136),0)</f>
        <v>0</v>
      </c>
      <c r="K243" s="6"/>
      <c r="P243" s="53"/>
      <c r="U243" s="6"/>
      <c r="W243" s="53"/>
    </row>
    <row r="244" spans="1:23" ht="12.75">
      <c r="A244" s="54" t="s">
        <v>297</v>
      </c>
      <c r="B244" s="60">
        <f>IF(B145&gt;0,((B148*((B46-B48)*(B10/(B47*30.4))))/B137),0)</f>
        <v>0</v>
      </c>
      <c r="C244" s="60">
        <f>IF(C145&gt;0,((C148*((C46-C48)*(C10/(C47*30.4))))/C137),0)</f>
        <v>0.8095189144736842</v>
      </c>
      <c r="D244" s="60">
        <f>IF(D145&gt;0,((D148*((D46-D48)*(D10/(D47*30.4))))/D137),0)</f>
        <v>0</v>
      </c>
      <c r="E244" s="60">
        <f>IF(E145&gt;0,((E148*((E46-E48)*(E10/(E47*30.4))))/E137),0)</f>
        <v>0</v>
      </c>
      <c r="K244" s="6"/>
      <c r="P244" s="53"/>
      <c r="U244" s="6"/>
      <c r="W244" s="53"/>
    </row>
    <row r="245" spans="1:23" ht="12.75">
      <c r="A245" s="54" t="s">
        <v>298</v>
      </c>
      <c r="B245" s="60">
        <f>IF(B146&gt;0,((B149*((B46-B48)*(B10/(B47*30.4))))/B138),0)</f>
        <v>0</v>
      </c>
      <c r="C245" s="60">
        <f>IF(C146&gt;0,((C149*((C46-C48)*(C10/(C47*30.4))))/C138),0)</f>
        <v>0</v>
      </c>
      <c r="D245" s="60">
        <f>IF(D146&gt;0,((D149*((D46-D48)*(D10/(D47*30.4))))/D138),0)</f>
        <v>0.8095189144736842</v>
      </c>
      <c r="E245" s="60">
        <f>IF(E146&gt;0,((E149*((E46-E48)*(E10/(E47*30.4))))/E138),0)</f>
        <v>0</v>
      </c>
      <c r="K245" s="6"/>
      <c r="P245" s="53"/>
      <c r="U245" s="6"/>
      <c r="W245" s="53"/>
    </row>
    <row r="246" spans="1:23" ht="12.75">
      <c r="A246" s="54" t="s">
        <v>310</v>
      </c>
      <c r="B246" s="111">
        <f>B36</f>
        <v>0</v>
      </c>
      <c r="C246" s="111">
        <f>C36</f>
        <v>0</v>
      </c>
      <c r="D246" s="111">
        <f>D36</f>
        <v>0</v>
      </c>
      <c r="E246" s="111">
        <f>E36</f>
        <v>6</v>
      </c>
      <c r="K246" s="6"/>
      <c r="P246" s="53"/>
      <c r="U246" s="6"/>
      <c r="W246" s="53"/>
    </row>
    <row r="247" spans="1:23" ht="12.75">
      <c r="A247" s="54" t="s">
        <v>318</v>
      </c>
      <c r="B247" s="108">
        <f>(B243*B136)+(B244*B137)+(B245*B138)+(B246*B139)</f>
        <v>15758.634868421053</v>
      </c>
      <c r="C247" s="108">
        <f>(C243*C136)+(C244*C137)+(C245*C138)+(C246*C139)</f>
        <v>6303.453947368422</v>
      </c>
      <c r="D247" s="108">
        <f>(D243*D136)+(D244*D137)+(D245*D138)+(D246*D139)</f>
        <v>6303.453947368422</v>
      </c>
      <c r="E247" s="108">
        <f>(E243*E136)+(E244*E137)+(E245*E138)+(E246*E139)</f>
        <v>41369.53955135774</v>
      </c>
      <c r="K247" s="6"/>
      <c r="P247" s="53"/>
      <c r="U247" s="6"/>
      <c r="W247" s="53"/>
    </row>
    <row r="248" spans="1:23" ht="12.75">
      <c r="A248" s="51" t="s">
        <v>320</v>
      </c>
      <c r="B248" s="108">
        <f aca="true" t="shared" si="3" ref="B248:E249">IF(B33&gt;0,(B37*B137),0)</f>
        <v>0</v>
      </c>
      <c r="C248" s="108">
        <f t="shared" si="3"/>
        <v>14016.000000000002</v>
      </c>
      <c r="D248" s="108">
        <f t="shared" si="3"/>
        <v>0</v>
      </c>
      <c r="E248" s="108">
        <f t="shared" si="3"/>
        <v>0</v>
      </c>
      <c r="K248" s="6"/>
      <c r="P248" s="53"/>
      <c r="U248" s="6"/>
      <c r="W248" s="53"/>
    </row>
    <row r="249" spans="1:23" ht="12.75">
      <c r="A249" s="51" t="s">
        <v>321</v>
      </c>
      <c r="B249" s="108">
        <f t="shared" si="3"/>
        <v>0</v>
      </c>
      <c r="C249" s="108">
        <f t="shared" si="3"/>
        <v>0</v>
      </c>
      <c r="D249" s="108">
        <f t="shared" si="3"/>
        <v>22036.26666666667</v>
      </c>
      <c r="E249" s="108">
        <f t="shared" si="3"/>
        <v>0</v>
      </c>
      <c r="K249" s="6"/>
      <c r="P249" s="53"/>
      <c r="U249" s="6"/>
      <c r="W249" s="53"/>
    </row>
    <row r="250" spans="1:23" ht="12.75">
      <c r="A250" s="117" t="s">
        <v>319</v>
      </c>
      <c r="B250" s="118"/>
      <c r="C250" s="118"/>
      <c r="D250" s="118"/>
      <c r="E250" s="118"/>
      <c r="K250" s="6"/>
      <c r="P250" s="53"/>
      <c r="U250" s="6"/>
      <c r="W250" s="53"/>
    </row>
    <row r="251" spans="1:23" ht="12.75">
      <c r="A251" s="44"/>
      <c r="B251" s="44"/>
      <c r="C251" s="44"/>
      <c r="D251" s="44"/>
      <c r="E251" s="44"/>
      <c r="K251" s="6"/>
      <c r="P251" s="53"/>
      <c r="U251" s="6"/>
      <c r="W251" s="53"/>
    </row>
    <row r="252" spans="2:23" ht="12.75">
      <c r="B252" s="12" t="str">
        <f aca="true" t="shared" si="4" ref="B252:E253">B7</f>
        <v>Scenario</v>
      </c>
      <c r="C252" s="12" t="str">
        <f t="shared" si="4"/>
        <v>Scenario</v>
      </c>
      <c r="D252" s="12" t="str">
        <f t="shared" si="4"/>
        <v>Scenario</v>
      </c>
      <c r="E252" s="12" t="str">
        <f t="shared" si="4"/>
        <v>Scenario</v>
      </c>
      <c r="K252" s="6"/>
      <c r="P252" s="53"/>
      <c r="U252" s="6"/>
      <c r="W252" s="53"/>
    </row>
    <row r="253" spans="1:23" ht="12.75">
      <c r="A253" s="12" t="s">
        <v>245</v>
      </c>
      <c r="B253" s="12" t="str">
        <f t="shared" si="4"/>
        <v>Natural</v>
      </c>
      <c r="C253" s="12" t="str">
        <f t="shared" si="4"/>
        <v>On-farm</v>
      </c>
      <c r="D253" s="12" t="str">
        <f t="shared" si="4"/>
        <v>Off-farm</v>
      </c>
      <c r="E253" s="12" t="str">
        <f t="shared" si="4"/>
        <v>Commercial</v>
      </c>
      <c r="K253" s="6"/>
      <c r="P253" s="53"/>
      <c r="U253" s="6"/>
      <c r="W253" s="53"/>
    </row>
    <row r="254" spans="1:23" ht="12.75">
      <c r="A254" s="9"/>
      <c r="B254" s="10"/>
      <c r="C254" s="10"/>
      <c r="D254" s="10"/>
      <c r="E254" s="10"/>
      <c r="K254" s="6"/>
      <c r="P254" s="53"/>
      <c r="U254" s="6"/>
      <c r="W254" s="53"/>
    </row>
    <row r="255" spans="1:23" ht="12.75">
      <c r="A255" s="47" t="s">
        <v>246</v>
      </c>
      <c r="B255" s="43"/>
      <c r="C255" s="43"/>
      <c r="D255" s="43"/>
      <c r="E255" s="43"/>
      <c r="K255" s="6"/>
      <c r="P255" s="53"/>
      <c r="U255" s="6"/>
      <c r="W255" s="53"/>
    </row>
    <row r="256" spans="1:23" ht="12.75">
      <c r="A256" s="58" t="s">
        <v>249</v>
      </c>
      <c r="B256" s="57">
        <f aca="true" t="shared" si="5" ref="B256:E257">B184</f>
        <v>1246.9330012453304</v>
      </c>
      <c r="C256" s="57">
        <f t="shared" si="5"/>
        <v>1379.758173515982</v>
      </c>
      <c r="D256" s="57">
        <f t="shared" si="5"/>
        <v>1379.758173515982</v>
      </c>
      <c r="E256" s="57">
        <f t="shared" si="5"/>
        <v>1246.9330012453304</v>
      </c>
      <c r="K256" s="6"/>
      <c r="P256" s="53"/>
      <c r="U256" s="6"/>
      <c r="W256" s="53"/>
    </row>
    <row r="257" spans="1:23" ht="12.75">
      <c r="A257" s="58" t="s">
        <v>248</v>
      </c>
      <c r="B257" s="57">
        <f t="shared" si="5"/>
        <v>87.29663760896639</v>
      </c>
      <c r="C257" s="57">
        <f t="shared" si="5"/>
        <v>95.49150684931507</v>
      </c>
      <c r="D257" s="57">
        <f t="shared" si="5"/>
        <v>95.49150684931507</v>
      </c>
      <c r="E257" s="57">
        <f t="shared" si="5"/>
        <v>87.29663760896639</v>
      </c>
      <c r="K257" s="6"/>
      <c r="P257" s="53"/>
      <c r="U257" s="6"/>
      <c r="W257" s="53"/>
    </row>
    <row r="258" spans="1:23" ht="12.75">
      <c r="A258" s="58" t="s">
        <v>247</v>
      </c>
      <c r="B258" s="57">
        <f>B150+B155</f>
        <v>35.23818181818182</v>
      </c>
      <c r="C258" s="57">
        <f>C150+C155</f>
        <v>13.354666666666667</v>
      </c>
      <c r="D258" s="57">
        <f>D150+D155</f>
        <v>13.354666666666667</v>
      </c>
      <c r="E258" s="57">
        <f>E150+E155</f>
        <v>5.23818181818182</v>
      </c>
      <c r="K258" s="6"/>
      <c r="P258" s="53"/>
      <c r="U258" s="6"/>
      <c r="W258" s="53"/>
    </row>
    <row r="259" spans="1:23" ht="12.75">
      <c r="A259" s="47" t="s">
        <v>250</v>
      </c>
      <c r="B259" s="43"/>
      <c r="C259" s="43"/>
      <c r="D259" s="43"/>
      <c r="E259" s="43"/>
      <c r="K259" s="6"/>
      <c r="P259" s="53"/>
      <c r="U259" s="6"/>
      <c r="W259" s="53"/>
    </row>
    <row r="260" spans="1:23" ht="12.75">
      <c r="A260" s="1" t="s">
        <v>99</v>
      </c>
      <c r="B260" s="32">
        <f>B140</f>
        <v>2920</v>
      </c>
      <c r="C260" s="32">
        <f>C140</f>
        <v>2920</v>
      </c>
      <c r="D260" s="32">
        <f>D140</f>
        <v>2920</v>
      </c>
      <c r="E260" s="32">
        <f>E140</f>
        <v>2920</v>
      </c>
      <c r="K260" s="6"/>
      <c r="P260" s="53"/>
      <c r="U260" s="6"/>
      <c r="W260" s="53"/>
    </row>
    <row r="261" spans="1:23" ht="12.75">
      <c r="A261" s="29" t="s">
        <v>251</v>
      </c>
      <c r="B261" s="30">
        <f aca="true" t="shared" si="6" ref="B261:E262">B193</f>
        <v>0.38</v>
      </c>
      <c r="C261" s="30">
        <f t="shared" si="6"/>
        <v>0.38</v>
      </c>
      <c r="D261" s="30">
        <f t="shared" si="6"/>
        <v>0.38</v>
      </c>
      <c r="E261" s="30">
        <f t="shared" si="6"/>
        <v>0.38</v>
      </c>
      <c r="K261" s="6"/>
      <c r="P261" s="53"/>
      <c r="U261" s="6"/>
      <c r="W261" s="53"/>
    </row>
    <row r="262" spans="1:23" ht="12.75">
      <c r="A262" s="28" t="s">
        <v>242</v>
      </c>
      <c r="B262" s="31">
        <f t="shared" si="6"/>
        <v>2.341745704928615</v>
      </c>
      <c r="C262" s="31">
        <f t="shared" si="6"/>
        <v>2.116312884423132</v>
      </c>
      <c r="D262" s="31">
        <f t="shared" si="6"/>
        <v>2.116312884423132</v>
      </c>
      <c r="E262" s="31">
        <f t="shared" si="6"/>
        <v>2.341745704928615</v>
      </c>
      <c r="K262" s="6"/>
      <c r="P262" s="53"/>
      <c r="U262" s="6"/>
      <c r="W262" s="53"/>
    </row>
    <row r="263" spans="1:23" ht="12.75">
      <c r="A263" s="1" t="s">
        <v>100</v>
      </c>
      <c r="B263" s="31">
        <f>B197</f>
        <v>10.299999999999999</v>
      </c>
      <c r="C263" s="31">
        <f>C197</f>
        <v>9.85</v>
      </c>
      <c r="D263" s="31">
        <f>D197</f>
        <v>9.85</v>
      </c>
      <c r="E263" s="31">
        <f>E197</f>
        <v>10.299999999999999</v>
      </c>
      <c r="K263" s="6"/>
      <c r="P263" s="53"/>
      <c r="U263" s="6"/>
      <c r="W263" s="53"/>
    </row>
    <row r="264" spans="1:23" ht="12.75">
      <c r="A264" s="1" t="s">
        <v>101</v>
      </c>
      <c r="B264" s="31">
        <f aca="true" t="shared" si="7" ref="B264:E265">B199</f>
        <v>9.321499999999999</v>
      </c>
      <c r="C264" s="31">
        <f t="shared" si="7"/>
        <v>8.91425</v>
      </c>
      <c r="D264" s="31">
        <f t="shared" si="7"/>
        <v>8.91425</v>
      </c>
      <c r="E264" s="31">
        <f t="shared" si="7"/>
        <v>9.321499999999999</v>
      </c>
      <c r="K264" s="6"/>
      <c r="P264" s="53"/>
      <c r="U264" s="6"/>
      <c r="W264" s="53"/>
    </row>
    <row r="265" spans="1:23" ht="12.75">
      <c r="A265" s="45" t="s">
        <v>158</v>
      </c>
      <c r="B265" s="32">
        <f t="shared" si="7"/>
        <v>27218.779999999995</v>
      </c>
      <c r="C265" s="32">
        <f t="shared" si="7"/>
        <v>26029.61</v>
      </c>
      <c r="D265" s="32">
        <f t="shared" si="7"/>
        <v>26029.61</v>
      </c>
      <c r="E265" s="32">
        <f t="shared" si="7"/>
        <v>27218.779999999995</v>
      </c>
      <c r="K265" s="6"/>
      <c r="P265" s="53"/>
      <c r="U265" s="6"/>
      <c r="W265" s="53"/>
    </row>
    <row r="266" spans="1:23" ht="12.75">
      <c r="A266" s="1" t="s">
        <v>104</v>
      </c>
      <c r="B266" s="31">
        <f>B200/B184</f>
        <v>21.828582588492083</v>
      </c>
      <c r="C266" s="31">
        <f>C200/C184</f>
        <v>18.865342129968905</v>
      </c>
      <c r="D266" s="31">
        <f>D200/D184</f>
        <v>18.865342129968905</v>
      </c>
      <c r="E266" s="31">
        <f>E200/E184</f>
        <v>21.828582588492083</v>
      </c>
      <c r="K266" s="6"/>
      <c r="P266" s="53"/>
      <c r="U266" s="6"/>
      <c r="W266" s="53"/>
    </row>
    <row r="267" spans="1:23" ht="12.75">
      <c r="A267" s="45" t="s">
        <v>252</v>
      </c>
      <c r="B267" s="77">
        <f>B201</f>
        <v>326625.3599999999</v>
      </c>
      <c r="C267" s="77">
        <f>C201</f>
        <v>312355.32</v>
      </c>
      <c r="D267" s="77">
        <f>D201</f>
        <v>312355.32</v>
      </c>
      <c r="E267" s="77">
        <f>E201</f>
        <v>326625.3599999999</v>
      </c>
      <c r="K267" s="6"/>
      <c r="P267" s="53"/>
      <c r="U267" s="6"/>
      <c r="W267" s="53"/>
    </row>
    <row r="268" spans="1:23" ht="12.75">
      <c r="A268" s="45" t="s">
        <v>243</v>
      </c>
      <c r="B268" s="32">
        <f>(B201+B204)</f>
        <v>407052.53858032374</v>
      </c>
      <c r="C268" s="32">
        <f>(C201+C204)</f>
        <v>401349.7221917808</v>
      </c>
      <c r="D268" s="32">
        <f>(D201+D204)</f>
        <v>401349.7221917808</v>
      </c>
      <c r="E268" s="32">
        <f>(E201+E204)</f>
        <v>407052.53858032374</v>
      </c>
      <c r="K268" s="6"/>
      <c r="P268" s="53"/>
      <c r="U268" s="6"/>
      <c r="W268" s="53"/>
    </row>
    <row r="269" spans="1:23" ht="12.75">
      <c r="A269" s="74" t="s">
        <v>270</v>
      </c>
      <c r="B269" s="6"/>
      <c r="C269" s="6"/>
      <c r="D269" s="6"/>
      <c r="E269" s="6"/>
      <c r="K269" s="6"/>
      <c r="P269" s="53"/>
      <c r="U269" s="6"/>
      <c r="W269" s="53"/>
    </row>
    <row r="270" spans="1:23" ht="12.75">
      <c r="A270" s="50" t="s">
        <v>255</v>
      </c>
      <c r="B270" s="36"/>
      <c r="C270" s="36"/>
      <c r="D270" s="36"/>
      <c r="E270" s="36"/>
      <c r="K270" s="6"/>
      <c r="P270" s="53"/>
      <c r="U270" s="6"/>
      <c r="W270" s="53"/>
    </row>
    <row r="271" spans="1:23" ht="12.75">
      <c r="A271" s="28" t="s">
        <v>256</v>
      </c>
      <c r="B271" s="37">
        <f>B93*B177</f>
        <v>576200.0000000002</v>
      </c>
      <c r="C271" s="37">
        <f>C93*C177</f>
        <v>644746.6666666667</v>
      </c>
      <c r="D271" s="37">
        <f>D93*D177</f>
        <v>644746.6666666667</v>
      </c>
      <c r="E271" s="37">
        <f>E93*E177</f>
        <v>576200.0000000002</v>
      </c>
      <c r="K271" s="6"/>
      <c r="P271" s="53"/>
      <c r="U271" s="6"/>
      <c r="W271" s="53"/>
    </row>
    <row r="272" spans="1:23" ht="12.75">
      <c r="A272" s="28" t="s">
        <v>257</v>
      </c>
      <c r="B272" s="37">
        <f>B94*B95</f>
        <v>285600</v>
      </c>
      <c r="C272" s="37">
        <f>C94*C95</f>
        <v>285600</v>
      </c>
      <c r="D272" s="37">
        <f>D94*D95</f>
        <v>285600</v>
      </c>
      <c r="E272" s="37">
        <f>E94*E95</f>
        <v>285600</v>
      </c>
      <c r="K272" s="6"/>
      <c r="P272" s="53"/>
      <c r="U272" s="6"/>
      <c r="W272" s="53"/>
    </row>
    <row r="273" spans="1:23" ht="12.75">
      <c r="A273" s="28" t="s">
        <v>275</v>
      </c>
      <c r="B273" s="37">
        <f>B96*(B180+B181)</f>
        <v>21824.1594022416</v>
      </c>
      <c r="C273" s="37">
        <f>C96*(C180+C181)</f>
        <v>23872.87671232877</v>
      </c>
      <c r="D273" s="37">
        <f>D96*(D180+D181)</f>
        <v>23872.87671232877</v>
      </c>
      <c r="E273" s="37">
        <f>E96*(E180+E181)</f>
        <v>21824.1594022416</v>
      </c>
      <c r="K273" s="6"/>
      <c r="P273" s="53"/>
      <c r="U273" s="6"/>
      <c r="W273" s="53"/>
    </row>
    <row r="274" spans="1:23" ht="12.75">
      <c r="A274" s="28" t="s">
        <v>276</v>
      </c>
      <c r="B274" s="37">
        <f>B97*B185</f>
        <v>16586.361145703613</v>
      </c>
      <c r="C274" s="37">
        <f>C97*C185</f>
        <v>18143.386301369865</v>
      </c>
      <c r="D274" s="37">
        <f>D97*D185</f>
        <v>18143.386301369865</v>
      </c>
      <c r="E274" s="37">
        <f>E97*E185</f>
        <v>16586.361145703613</v>
      </c>
      <c r="K274" s="6"/>
      <c r="P274" s="53"/>
      <c r="U274" s="6"/>
      <c r="W274" s="53"/>
    </row>
    <row r="275" spans="1:23" ht="12.75">
      <c r="A275" s="28" t="s">
        <v>304</v>
      </c>
      <c r="B275" s="37">
        <f>(B98*B150)</f>
        <v>12000</v>
      </c>
      <c r="C275" s="37">
        <f>(C98*C150)</f>
        <v>2400</v>
      </c>
      <c r="D275" s="37">
        <f>(D98*D150)</f>
        <v>0</v>
      </c>
      <c r="E275" s="37">
        <f>(E98*E150)</f>
        <v>0</v>
      </c>
      <c r="K275" s="6"/>
      <c r="P275" s="53"/>
      <c r="U275" s="6"/>
      <c r="W275" s="53"/>
    </row>
    <row r="276" spans="1:23" ht="12.75">
      <c r="A276" s="28" t="s">
        <v>277</v>
      </c>
      <c r="B276" s="37">
        <f>B155*B99</f>
        <v>2881.000000000001</v>
      </c>
      <c r="C276" s="37">
        <f>C155*C99</f>
        <v>4045.066666666667</v>
      </c>
      <c r="D276" s="37">
        <f>D155*D99</f>
        <v>4045.066666666667</v>
      </c>
      <c r="E276" s="37">
        <f>E155*E99</f>
        <v>2881.000000000001</v>
      </c>
      <c r="K276" s="6"/>
      <c r="P276" s="53"/>
      <c r="U276" s="6"/>
      <c r="W276" s="53"/>
    </row>
    <row r="277" spans="1:23" ht="12.75">
      <c r="A277" s="22" t="s">
        <v>94</v>
      </c>
      <c r="B277" s="37">
        <f>B271+B272+B273+B274+B275+B276</f>
        <v>915091.5205479454</v>
      </c>
      <c r="C277" s="37">
        <f>C271+C272+C273+C274+C275+C276</f>
        <v>978807.996347032</v>
      </c>
      <c r="D277" s="37">
        <f>D271+D272+D273+D274+D275+D276</f>
        <v>976407.996347032</v>
      </c>
      <c r="E277" s="37">
        <f>E271+E272+E273+E274+E275+E276</f>
        <v>903091.5205479454</v>
      </c>
      <c r="K277" s="6"/>
      <c r="P277" s="53"/>
      <c r="U277" s="6"/>
      <c r="W277" s="53"/>
    </row>
    <row r="278" spans="1:23" ht="12.75">
      <c r="A278" s="28" t="s">
        <v>95</v>
      </c>
      <c r="B278" s="37">
        <f>B101*B277</f>
        <v>732073.2164383563</v>
      </c>
      <c r="C278" s="37">
        <f>C101*C277</f>
        <v>783046.3970776256</v>
      </c>
      <c r="D278" s="37">
        <f>D101*D277</f>
        <v>781126.3970776256</v>
      </c>
      <c r="E278" s="37">
        <f>E101*E277</f>
        <v>722473.2164383563</v>
      </c>
      <c r="K278" s="6"/>
      <c r="P278" s="53"/>
      <c r="U278" s="6"/>
      <c r="W278" s="53"/>
    </row>
    <row r="279" spans="1:23" ht="12.75">
      <c r="A279" s="28" t="s">
        <v>96</v>
      </c>
      <c r="B279" s="37">
        <f>PMT(B102,B103,-(B278))</f>
        <v>80377.70405250805</v>
      </c>
      <c r="C279" s="37">
        <f>PMT(C102,C103,-(C278))</f>
        <v>85974.28529061323</v>
      </c>
      <c r="D279" s="37">
        <f>PMT(D102,D103,-(D278))</f>
        <v>85763.47961118731</v>
      </c>
      <c r="E279" s="37">
        <f>PMT(E102,E103,-(E278))</f>
        <v>79323.67565537839</v>
      </c>
      <c r="K279" s="6"/>
      <c r="P279" s="53"/>
      <c r="U279" s="6"/>
      <c r="W279" s="53"/>
    </row>
    <row r="280" spans="1:23" ht="12.75">
      <c r="A280" s="28" t="s">
        <v>97</v>
      </c>
      <c r="B280" s="37">
        <f>(B277*B104)+(B277*B105)</f>
        <v>13726.372808219181</v>
      </c>
      <c r="C280" s="37">
        <f>(C277*C104)+(C277*C105)</f>
        <v>14682.119945205479</v>
      </c>
      <c r="D280" s="37">
        <f>(D277*D104)+(D277*D105)</f>
        <v>14646.119945205479</v>
      </c>
      <c r="E280" s="37">
        <f>(E277*E104)+(E277*E105)</f>
        <v>13546.372808219181</v>
      </c>
      <c r="K280" s="6"/>
      <c r="P280" s="53"/>
      <c r="U280" s="6"/>
      <c r="W280" s="53"/>
    </row>
    <row r="281" spans="1:23" ht="12.75">
      <c r="A281" s="45" t="s">
        <v>254</v>
      </c>
      <c r="B281" s="37">
        <f>B277*B106</f>
        <v>9150.915205479454</v>
      </c>
      <c r="C281" s="37">
        <f>C277*C106</f>
        <v>9788.07996347032</v>
      </c>
      <c r="D281" s="37">
        <f>D277*D106</f>
        <v>9764.07996347032</v>
      </c>
      <c r="E281" s="37">
        <f>E277*E106</f>
        <v>9030.915205479454</v>
      </c>
      <c r="K281" s="6"/>
      <c r="P281" s="53"/>
      <c r="U281" s="6"/>
      <c r="W281" s="53"/>
    </row>
    <row r="282" spans="1:23" ht="12.75">
      <c r="A282" s="45" t="s">
        <v>268</v>
      </c>
      <c r="B282" s="37">
        <f>(B277-B278)/B100</f>
        <v>12201.220273972605</v>
      </c>
      <c r="C282" s="37">
        <f>(C277-C278)/C100</f>
        <v>13050.773284627094</v>
      </c>
      <c r="D282" s="37">
        <f>(D277-D278)/D100</f>
        <v>13018.773284627094</v>
      </c>
      <c r="E282" s="37">
        <f>(E277-E278)/E100</f>
        <v>12041.220273972605</v>
      </c>
      <c r="K282" s="6"/>
      <c r="P282" s="53"/>
      <c r="U282" s="6"/>
      <c r="W282" s="53"/>
    </row>
    <row r="283" spans="1:23" ht="12.75">
      <c r="A283" s="78" t="s">
        <v>266</v>
      </c>
      <c r="B283" s="81">
        <f>((B279+B280+B281+B282)/365)*B10</f>
        <v>115456.21234017928</v>
      </c>
      <c r="C283" s="81">
        <f>((C279+C280+C281+C282)/365)*C10</f>
        <v>123495.25848391611</v>
      </c>
      <c r="D283" s="81">
        <f>((D279+D280+D281+D282)/365)*D10</f>
        <v>123192.4528044902</v>
      </c>
      <c r="E283" s="81">
        <f>((E279+E280+E281+E282)/365)*E10</f>
        <v>113942.18394304963</v>
      </c>
      <c r="K283" s="6"/>
      <c r="P283" s="53"/>
      <c r="U283" s="6"/>
      <c r="W283" s="53"/>
    </row>
    <row r="284" spans="1:23" ht="12.75">
      <c r="A284" s="50" t="s">
        <v>258</v>
      </c>
      <c r="B284" s="37"/>
      <c r="C284" s="37"/>
      <c r="D284" s="37"/>
      <c r="E284" s="37"/>
      <c r="K284" s="6"/>
      <c r="P284" s="53"/>
      <c r="U284" s="6"/>
      <c r="W284" s="53"/>
    </row>
    <row r="285" spans="1:23" ht="12.75">
      <c r="A285" s="45" t="s">
        <v>259</v>
      </c>
      <c r="B285" s="42">
        <f>(B209)</f>
        <v>21573.900000000052</v>
      </c>
      <c r="C285" s="42">
        <f>(C209)</f>
        <v>34906.226666666706</v>
      </c>
      <c r="D285" s="42">
        <f>(D209)</f>
        <v>34906.226666666706</v>
      </c>
      <c r="E285" s="42">
        <f>(E209)</f>
        <v>21573.900000000052</v>
      </c>
      <c r="K285" s="6"/>
      <c r="P285" s="53"/>
      <c r="U285" s="6"/>
      <c r="W285" s="53"/>
    </row>
    <row r="286" spans="1:23" ht="12.75">
      <c r="A286" s="45" t="s">
        <v>260</v>
      </c>
      <c r="B286" s="42">
        <f>(B211)</f>
        <v>91541.99999999999</v>
      </c>
      <c r="C286" s="42">
        <f>(C211)</f>
        <v>91542</v>
      </c>
      <c r="D286" s="42">
        <f>(D211)</f>
        <v>91542</v>
      </c>
      <c r="E286" s="42">
        <f>(E211)</f>
        <v>91541.99999999999</v>
      </c>
      <c r="K286" s="6"/>
      <c r="P286" s="53"/>
      <c r="U286" s="6"/>
      <c r="W286" s="53"/>
    </row>
    <row r="287" spans="1:23" ht="12.75">
      <c r="A287" s="45" t="s">
        <v>261</v>
      </c>
      <c r="B287" s="42">
        <f>(B213)</f>
        <v>31886.4</v>
      </c>
      <c r="C287" s="42">
        <f>(C213)</f>
        <v>31886.4</v>
      </c>
      <c r="D287" s="42">
        <f>(D213)</f>
        <v>31886.4</v>
      </c>
      <c r="E287" s="42">
        <f>(E213)</f>
        <v>31886.4</v>
      </c>
      <c r="K287" s="6"/>
      <c r="P287" s="53"/>
      <c r="U287" s="6"/>
      <c r="W287" s="53"/>
    </row>
    <row r="288" spans="1:23" ht="12.75">
      <c r="A288" s="45" t="s">
        <v>262</v>
      </c>
      <c r="B288" s="42">
        <f>B218</f>
        <v>3537.0325000000003</v>
      </c>
      <c r="C288" s="42">
        <f>C218</f>
        <v>1340.474666666667</v>
      </c>
      <c r="D288" s="42">
        <f>D218</f>
        <v>738.2246666666668</v>
      </c>
      <c r="E288" s="42">
        <f>E218</f>
        <v>525.7825000000001</v>
      </c>
      <c r="K288" s="6"/>
      <c r="P288" s="53"/>
      <c r="U288" s="6"/>
      <c r="W288" s="53"/>
    </row>
    <row r="289" spans="1:23" ht="12.75">
      <c r="A289" s="78" t="s">
        <v>263</v>
      </c>
      <c r="B289" s="80">
        <f>B285+B286+B287+B288</f>
        <v>148539.33250000005</v>
      </c>
      <c r="C289" s="80">
        <f>C285+C286+C287+C288</f>
        <v>159675.10133333338</v>
      </c>
      <c r="D289" s="80">
        <f>D285+D286+D287+D288</f>
        <v>159072.85133333338</v>
      </c>
      <c r="E289" s="80">
        <f>E285+E286+E287+E288</f>
        <v>145528.08250000005</v>
      </c>
      <c r="K289" s="6"/>
      <c r="P289" s="53"/>
      <c r="U289" s="6"/>
      <c r="W289" s="53"/>
    </row>
    <row r="290" spans="1:23" ht="12.75">
      <c r="A290" s="79" t="s">
        <v>280</v>
      </c>
      <c r="B290" s="81">
        <f>((B108*B109*B110*B111)+(B112*B113*B114*B115)+(B116*B117*B118*B119))/365*B10</f>
        <v>99450</v>
      </c>
      <c r="C290" s="81">
        <f>((C108*C109*C110*C111)+(C112*C113*C114*C115)+(C116*C117*C118*C119))/365*C10</f>
        <v>99450</v>
      </c>
      <c r="D290" s="81">
        <f>((D108*D109*D110*D111)+(D112*D113*D114*D115)+(D116*D117*D118*D119))/365*D10</f>
        <v>99450</v>
      </c>
      <c r="E290" s="81">
        <f>((E108*E109*E110*E111)+(E112*E113*E114*E115)+(E116*E117*E118*E119))/365*E10</f>
        <v>99450</v>
      </c>
      <c r="K290" s="6"/>
      <c r="P290" s="53"/>
      <c r="U290" s="6"/>
      <c r="W290" s="53"/>
    </row>
    <row r="291" spans="1:23" ht="12.75">
      <c r="A291" s="50" t="s">
        <v>264</v>
      </c>
      <c r="B291" s="62">
        <f>B$124*B200</f>
        <v>31301.59699999999</v>
      </c>
      <c r="C291" s="62">
        <f>C$124*C200</f>
        <v>29934.051499999998</v>
      </c>
      <c r="D291" s="62">
        <f>D$124*D200</f>
        <v>29934.051499999998</v>
      </c>
      <c r="E291" s="62">
        <f>E$124*E200</f>
        <v>31301.59699999999</v>
      </c>
      <c r="K291" s="6"/>
      <c r="P291" s="53"/>
      <c r="U291" s="6"/>
      <c r="W291" s="53"/>
    </row>
    <row r="292" spans="1:23" ht="12.75">
      <c r="A292" s="50" t="s">
        <v>265</v>
      </c>
      <c r="B292" s="62">
        <f>B$125*B200</f>
        <v>27218.779999999995</v>
      </c>
      <c r="C292" s="62">
        <f>C$125*C200</f>
        <v>26029.61</v>
      </c>
      <c r="D292" s="62">
        <f>D$125*D200</f>
        <v>26029.61</v>
      </c>
      <c r="E292" s="62">
        <f>E$125*E200</f>
        <v>27218.779999999995</v>
      </c>
      <c r="K292" s="6"/>
      <c r="P292" s="53"/>
      <c r="U292" s="6"/>
      <c r="W292" s="53"/>
    </row>
    <row r="293" spans="1:23" ht="12.75">
      <c r="A293" s="50" t="s">
        <v>322</v>
      </c>
      <c r="B293" s="62">
        <f>B247+B248+B249</f>
        <v>15758.634868421053</v>
      </c>
      <c r="C293" s="62">
        <f>C247+C248+C249</f>
        <v>20319.453947368424</v>
      </c>
      <c r="D293" s="62">
        <f>D247+D248+D249</f>
        <v>28339.72061403509</v>
      </c>
      <c r="E293" s="62">
        <f>E247+E248+E249</f>
        <v>41369.53955135774</v>
      </c>
      <c r="K293" s="6"/>
      <c r="P293" s="53"/>
      <c r="U293" s="6"/>
      <c r="W293" s="53"/>
    </row>
    <row r="294" spans="1:23" ht="12.75">
      <c r="A294" s="50" t="s">
        <v>98</v>
      </c>
      <c r="B294" s="62">
        <f>(B238)</f>
        <v>49752.62674968868</v>
      </c>
      <c r="C294" s="62">
        <f>(C238)</f>
        <v>55052.35112328768</v>
      </c>
      <c r="D294" s="62">
        <f>(D238)</f>
        <v>55052.35112328768</v>
      </c>
      <c r="E294" s="62">
        <f>(E238)</f>
        <v>49752.62674968868</v>
      </c>
      <c r="K294" s="6"/>
      <c r="P294" s="53"/>
      <c r="U294" s="6"/>
      <c r="W294" s="53"/>
    </row>
    <row r="295" spans="1:23" ht="12.75">
      <c r="A295" s="50" t="s">
        <v>267</v>
      </c>
      <c r="B295" s="62">
        <f>PMT(B122,B123,-(B121))*B123</f>
        <v>194896.2784379717</v>
      </c>
      <c r="C295" s="62">
        <f>PMT(C122,C123,-(C121))*C123</f>
        <v>194896.2784379717</v>
      </c>
      <c r="D295" s="62">
        <f>PMT(D122,D123,-(D121))*D123</f>
        <v>194896.2784379717</v>
      </c>
      <c r="E295" s="62">
        <f>PMT(E122,E123,-(E121))*E123</f>
        <v>194896.2784379717</v>
      </c>
      <c r="K295" s="6"/>
      <c r="P295" s="53"/>
      <c r="U295" s="6"/>
      <c r="W295" s="53"/>
    </row>
    <row r="296" spans="1:23" ht="12.75">
      <c r="A296" s="82" t="s">
        <v>269</v>
      </c>
      <c r="B296" s="62">
        <f>B283+B289+B290+B291+B292+B293+B294+B295</f>
        <v>682373.4618962607</v>
      </c>
      <c r="C296" s="62">
        <f>C283+C289+C290+C291+C292+C293+C294+C295</f>
        <v>708852.1048258772</v>
      </c>
      <c r="D296" s="62">
        <f>D283+D289+D290+D291+D292+D293+D294+D295</f>
        <v>715967.315813118</v>
      </c>
      <c r="E296" s="62">
        <f>E283+E289+E290+E291+E292+E293+E294+E295</f>
        <v>703459.0881820677</v>
      </c>
      <c r="K296" s="6"/>
      <c r="P296" s="53"/>
      <c r="U296" s="6"/>
      <c r="W296" s="53"/>
    </row>
    <row r="297" spans="1:23" ht="12.75">
      <c r="A297" s="74" t="s">
        <v>271</v>
      </c>
      <c r="B297" s="42"/>
      <c r="C297" s="42"/>
      <c r="D297" s="42"/>
      <c r="E297" s="42"/>
      <c r="K297" s="6"/>
      <c r="P297" s="53"/>
      <c r="U297" s="6"/>
      <c r="W297" s="53"/>
    </row>
    <row r="298" spans="1:23" ht="12.75">
      <c r="A298" s="1" t="s">
        <v>102</v>
      </c>
      <c r="B298" s="33">
        <f>B80</f>
        <v>2.5</v>
      </c>
      <c r="C298" s="33">
        <f>C80</f>
        <v>2.5</v>
      </c>
      <c r="D298" s="33">
        <f>D80</f>
        <v>2.5</v>
      </c>
      <c r="E298" s="33">
        <f>E80</f>
        <v>2.5</v>
      </c>
      <c r="K298" s="6"/>
      <c r="P298" s="53"/>
      <c r="U298" s="6"/>
      <c r="W298" s="53"/>
    </row>
    <row r="299" spans="1:23" ht="12.75">
      <c r="A299" s="1" t="s">
        <v>105</v>
      </c>
      <c r="B299" s="37">
        <f>B202</f>
        <v>816563.3999999998</v>
      </c>
      <c r="C299" s="37">
        <f>C202</f>
        <v>780888.3</v>
      </c>
      <c r="D299" s="37">
        <f>D202</f>
        <v>780888.3</v>
      </c>
      <c r="E299" s="37">
        <f>E202</f>
        <v>816563.3999999998</v>
      </c>
      <c r="K299" s="6"/>
      <c r="P299" s="53"/>
      <c r="U299" s="6"/>
      <c r="W299" s="53"/>
    </row>
    <row r="300" spans="1:23" ht="12.75">
      <c r="A300" s="45" t="s">
        <v>103</v>
      </c>
      <c r="B300" s="36">
        <f>B82</f>
        <v>0.28</v>
      </c>
      <c r="C300" s="36">
        <f>C82</f>
        <v>0.28</v>
      </c>
      <c r="D300" s="36">
        <f>D82</f>
        <v>0.28</v>
      </c>
      <c r="E300" s="36">
        <f>E82</f>
        <v>0.28</v>
      </c>
      <c r="K300" s="6"/>
      <c r="P300" s="53"/>
      <c r="U300" s="6"/>
      <c r="W300" s="53"/>
    </row>
    <row r="301" spans="1:23" ht="12.75">
      <c r="A301" s="1" t="s">
        <v>106</v>
      </c>
      <c r="B301" s="37">
        <f>B206</f>
        <v>22519.610002490666</v>
      </c>
      <c r="C301" s="37">
        <f>C206</f>
        <v>24918.432613698635</v>
      </c>
      <c r="D301" s="37">
        <f>D206</f>
        <v>24918.432613698635</v>
      </c>
      <c r="E301" s="37">
        <f>E206</f>
        <v>22519.610002490666</v>
      </c>
      <c r="K301" s="6"/>
      <c r="P301" s="53"/>
      <c r="U301" s="6"/>
      <c r="W301" s="53"/>
    </row>
    <row r="302" spans="1:23" ht="12.75">
      <c r="A302" s="50" t="s">
        <v>281</v>
      </c>
      <c r="B302" s="81">
        <f>B227</f>
        <v>839083.0100024905</v>
      </c>
      <c r="C302" s="81">
        <f>C227</f>
        <v>805806.7326136987</v>
      </c>
      <c r="D302" s="81">
        <f>D227</f>
        <v>805806.7326136987</v>
      </c>
      <c r="E302" s="81">
        <f>E227</f>
        <v>839083.0100024905</v>
      </c>
      <c r="K302" s="6"/>
      <c r="P302" s="53"/>
      <c r="U302" s="6"/>
      <c r="W302" s="53"/>
    </row>
    <row r="303" spans="2:23" ht="12.75">
      <c r="B303" s="32"/>
      <c r="C303" s="32"/>
      <c r="D303" s="32"/>
      <c r="E303" s="32"/>
      <c r="K303" s="6"/>
      <c r="P303" s="53"/>
      <c r="U303" s="6"/>
      <c r="W303" s="53"/>
    </row>
    <row r="304" spans="1:23" ht="12.75">
      <c r="A304" s="50" t="s">
        <v>272</v>
      </c>
      <c r="B304" s="83">
        <f>B302-B296</f>
        <v>156709.54810622975</v>
      </c>
      <c r="C304" s="83">
        <f>C302-C296</f>
        <v>96954.62778782146</v>
      </c>
      <c r="D304" s="83">
        <f>D302-D296</f>
        <v>89839.41680058069</v>
      </c>
      <c r="E304" s="83">
        <f>E302-E296</f>
        <v>135623.92182042275</v>
      </c>
      <c r="K304" s="6"/>
      <c r="P304" s="53"/>
      <c r="U304" s="6"/>
      <c r="W304" s="53"/>
    </row>
    <row r="305" spans="1:23" ht="12.75">
      <c r="A305" s="9"/>
      <c r="B305" s="10"/>
      <c r="C305" s="10"/>
      <c r="D305" s="9"/>
      <c r="E305" s="9"/>
      <c r="K305" s="6"/>
      <c r="P305" s="53"/>
      <c r="U305" s="6"/>
      <c r="W305" s="53"/>
    </row>
    <row r="306" spans="1:23" ht="12.75">
      <c r="A306" s="1" t="s">
        <v>107</v>
      </c>
      <c r="D306" s="45" t="s">
        <v>323</v>
      </c>
      <c r="K306" s="6"/>
      <c r="P306" s="53"/>
      <c r="U306" s="6"/>
      <c r="W306" s="53"/>
    </row>
    <row r="307" spans="1:23" ht="12.75">
      <c r="A307" s="1" t="s">
        <v>108</v>
      </c>
      <c r="K307" s="6"/>
      <c r="P307" s="53"/>
      <c r="U307" s="6"/>
      <c r="W307" s="53"/>
    </row>
    <row r="308" spans="1:23" ht="12.75">
      <c r="A308" s="1" t="s">
        <v>109</v>
      </c>
      <c r="K308" s="6"/>
      <c r="P308" s="53"/>
      <c r="U308" s="6"/>
      <c r="W308" s="53"/>
    </row>
    <row r="309" spans="1:23" ht="12.75">
      <c r="A309" s="1" t="s">
        <v>110</v>
      </c>
      <c r="K309" s="6"/>
      <c r="P309" s="53"/>
      <c r="U309" s="6"/>
      <c r="W309" s="53"/>
    </row>
    <row r="310" spans="1:23" ht="12.75">
      <c r="A310" s="1" t="s">
        <v>111</v>
      </c>
      <c r="K310" s="6"/>
      <c r="P310" s="53"/>
      <c r="U310" s="6"/>
      <c r="W310" s="53"/>
    </row>
    <row r="311" spans="1:23" ht="12.75">
      <c r="A311" s="1" t="s">
        <v>112</v>
      </c>
      <c r="K311" s="6"/>
      <c r="P311" s="53"/>
      <c r="U311" s="6"/>
      <c r="W311" s="53"/>
    </row>
    <row r="312" spans="1:23" ht="12.75">
      <c r="A312" s="1" t="s">
        <v>113</v>
      </c>
      <c r="K312" s="6"/>
      <c r="P312" s="53"/>
      <c r="U312" s="6"/>
      <c r="W312" s="53"/>
    </row>
    <row r="313" spans="1:23" ht="12.75">
      <c r="A313" s="1" t="s">
        <v>114</v>
      </c>
      <c r="K313" s="6"/>
      <c r="P313" s="53"/>
      <c r="U313" s="6"/>
      <c r="W313" s="53"/>
    </row>
    <row r="314" spans="1:23" ht="12.75">
      <c r="A314" s="1" t="s">
        <v>115</v>
      </c>
      <c r="K314" s="6"/>
      <c r="P314" s="53"/>
      <c r="U314" s="6"/>
      <c r="W314" s="53"/>
    </row>
    <row r="315" spans="1:23" ht="12.75">
      <c r="A315" s="1" t="s">
        <v>116</v>
      </c>
      <c r="K315" s="6"/>
      <c r="P315" s="53"/>
      <c r="U315" s="6"/>
      <c r="W315" s="53"/>
    </row>
    <row r="316" spans="11:23" ht="12.75">
      <c r="K316" s="6"/>
      <c r="P316" s="53"/>
      <c r="U316" s="6"/>
      <c r="W316" s="53"/>
    </row>
    <row r="317" spans="11:23" ht="12.75">
      <c r="K317" s="6"/>
      <c r="P317" s="53"/>
      <c r="U317" s="6"/>
      <c r="W317" s="53"/>
    </row>
    <row r="318" spans="11:23" ht="12.75">
      <c r="K318" s="6"/>
      <c r="P318" s="53"/>
      <c r="U318" s="6"/>
      <c r="W318" s="53"/>
    </row>
    <row r="319" spans="11:23" ht="12.75">
      <c r="K319" s="6"/>
      <c r="P319" s="53"/>
      <c r="U319" s="6"/>
      <c r="W319" s="53"/>
    </row>
    <row r="320" spans="11:23" ht="12.75">
      <c r="K320" s="6"/>
      <c r="P320" s="53"/>
      <c r="U320" s="6"/>
      <c r="W320" s="53"/>
    </row>
    <row r="321" spans="11:23" ht="12.75">
      <c r="K321" s="6"/>
      <c r="P321" s="53"/>
      <c r="U321" s="6"/>
      <c r="W321" s="53"/>
    </row>
    <row r="322" spans="11:23" ht="12.75">
      <c r="K322" s="6"/>
      <c r="P322" s="53"/>
      <c r="U322" s="6"/>
      <c r="W322" s="53"/>
    </row>
    <row r="323" spans="11:23" ht="12.75">
      <c r="K323" s="6"/>
      <c r="P323" s="53"/>
      <c r="U323" s="6"/>
      <c r="W323" s="53"/>
    </row>
    <row r="324" spans="11:23" ht="12.75">
      <c r="K324" s="6"/>
      <c r="P324" s="53"/>
      <c r="U324" s="6"/>
      <c r="W324" s="53"/>
    </row>
    <row r="325" spans="11:23" ht="12.75">
      <c r="K325" s="6"/>
      <c r="P325" s="53"/>
      <c r="U325" s="6"/>
      <c r="W325" s="53"/>
    </row>
    <row r="326" spans="11:23" ht="12.75">
      <c r="K326" s="6"/>
      <c r="P326" s="53"/>
      <c r="U326" s="6"/>
      <c r="W326" s="53"/>
    </row>
    <row r="327" spans="11:23" ht="12.75">
      <c r="K327" s="6"/>
      <c r="P327" s="53"/>
      <c r="U327" s="6"/>
      <c r="W327" s="53"/>
    </row>
    <row r="328" spans="11:23" ht="12.75">
      <c r="K328" s="6"/>
      <c r="P328" s="53"/>
      <c r="U328" s="6"/>
      <c r="W328" s="53"/>
    </row>
    <row r="329" spans="11:23" ht="12.75">
      <c r="K329" s="6"/>
      <c r="P329" s="53"/>
      <c r="U329" s="6"/>
      <c r="W329" s="53"/>
    </row>
    <row r="330" spans="11:23" ht="12.75">
      <c r="K330" s="6"/>
      <c r="P330" s="53"/>
      <c r="U330" s="6"/>
      <c r="W330" s="53"/>
    </row>
    <row r="331" spans="11:23" ht="12.75">
      <c r="K331" s="6"/>
      <c r="P331" s="53"/>
      <c r="U331" s="6"/>
      <c r="W331" s="53"/>
    </row>
    <row r="332" spans="11:23" ht="12.75">
      <c r="K332" s="6"/>
      <c r="P332" s="53"/>
      <c r="U332" s="6"/>
      <c r="W332" s="53"/>
    </row>
    <row r="333" spans="11:23" ht="12.75">
      <c r="K333" s="6"/>
      <c r="P333" s="53"/>
      <c r="U333" s="6"/>
      <c r="W333" s="53"/>
    </row>
    <row r="334" spans="11:23" ht="12.75">
      <c r="K334" s="6"/>
      <c r="P334" s="53"/>
      <c r="U334" s="6"/>
      <c r="W334" s="53"/>
    </row>
    <row r="335" spans="11:23" ht="12.75">
      <c r="K335" s="6"/>
      <c r="P335" s="53"/>
      <c r="U335" s="6"/>
      <c r="W335" s="53"/>
    </row>
    <row r="336" spans="11:23" ht="12.75">
      <c r="K336" s="6"/>
      <c r="P336" s="53"/>
      <c r="U336" s="6"/>
      <c r="W336" s="53"/>
    </row>
    <row r="337" spans="11:23" ht="12.75">
      <c r="K337" s="6"/>
      <c r="P337" s="53"/>
      <c r="U337" s="6"/>
      <c r="W337" s="53"/>
    </row>
    <row r="338" spans="11:23" ht="12.75">
      <c r="K338" s="6"/>
      <c r="P338" s="53"/>
      <c r="U338" s="6"/>
      <c r="W338" s="53"/>
    </row>
    <row r="339" spans="11:23" ht="12.75">
      <c r="K339" s="6"/>
      <c r="P339" s="53"/>
      <c r="U339" s="6"/>
      <c r="W339" s="53"/>
    </row>
    <row r="340" spans="11:23" ht="12.75">
      <c r="K340" s="6"/>
      <c r="P340" s="53"/>
      <c r="U340" s="6"/>
      <c r="W340" s="53"/>
    </row>
    <row r="341" spans="11:23" ht="12.75">
      <c r="K341" s="6"/>
      <c r="P341" s="53"/>
      <c r="U341" s="6"/>
      <c r="W341" s="53"/>
    </row>
    <row r="342" spans="11:23" ht="12.75">
      <c r="K342" s="6"/>
      <c r="P342" s="53"/>
      <c r="U342" s="6"/>
      <c r="W342" s="53"/>
    </row>
    <row r="343" spans="11:23" ht="12.75">
      <c r="K343" s="6"/>
      <c r="P343" s="53"/>
      <c r="U343" s="6"/>
      <c r="W343" s="53"/>
    </row>
    <row r="344" spans="11:23" ht="12.75">
      <c r="K344" s="6"/>
      <c r="P344" s="53"/>
      <c r="U344" s="6"/>
      <c r="W344" s="53"/>
    </row>
    <row r="345" spans="11:23" ht="12.75">
      <c r="K345" s="6"/>
      <c r="P345" s="53"/>
      <c r="U345" s="6"/>
      <c r="W345" s="53"/>
    </row>
    <row r="346" spans="11:23" ht="12.75">
      <c r="K346" s="6"/>
      <c r="P346" s="53"/>
      <c r="U346" s="6"/>
      <c r="W346" s="53"/>
    </row>
    <row r="347" spans="7:23" ht="12.75">
      <c r="G347" s="6"/>
      <c r="H347" s="6"/>
      <c r="I347" s="6"/>
      <c r="J347" s="6"/>
      <c r="L347" s="53"/>
      <c r="M347" s="53"/>
      <c r="N347" s="53"/>
      <c r="O347" s="53"/>
      <c r="Q347" s="6"/>
      <c r="V347" s="53"/>
      <c r="W347" s="53"/>
    </row>
    <row r="348" spans="7:23" ht="12.75">
      <c r="G348" s="6"/>
      <c r="H348" s="6"/>
      <c r="I348" s="6"/>
      <c r="J348" s="6"/>
      <c r="L348" s="53"/>
      <c r="M348" s="53"/>
      <c r="N348" s="53"/>
      <c r="O348" s="53"/>
      <c r="Q348" s="6"/>
      <c r="V348" s="53"/>
      <c r="W348" s="53"/>
    </row>
    <row r="349" spans="6:23" ht="12.75">
      <c r="F349" s="6"/>
      <c r="G349" s="6"/>
      <c r="H349" s="6"/>
      <c r="I349" s="6"/>
      <c r="J349" s="6"/>
      <c r="L349" s="53"/>
      <c r="M349" s="53"/>
      <c r="N349" s="53"/>
      <c r="O349" s="53"/>
      <c r="Q349" s="6"/>
      <c r="V349" s="53"/>
      <c r="W349" s="53"/>
    </row>
    <row r="350" spans="6:23" ht="12.75">
      <c r="F350" s="6"/>
      <c r="G350" s="6"/>
      <c r="H350" s="6"/>
      <c r="I350" s="6"/>
      <c r="J350" s="6"/>
      <c r="L350" s="53"/>
      <c r="M350" s="53"/>
      <c r="N350" s="53"/>
      <c r="O350" s="53"/>
      <c r="Q350" s="6"/>
      <c r="V350" s="53"/>
      <c r="W350" s="53"/>
    </row>
    <row r="351" spans="6:23" ht="12.75">
      <c r="F351" s="6"/>
      <c r="G351" s="6"/>
      <c r="H351" s="6"/>
      <c r="I351" s="6"/>
      <c r="J351" s="6"/>
      <c r="L351" s="53"/>
      <c r="M351" s="53"/>
      <c r="N351" s="53"/>
      <c r="O351" s="53"/>
      <c r="Q351" s="6"/>
      <c r="V351" s="53"/>
      <c r="W351" s="53"/>
    </row>
    <row r="352" spans="6:23" ht="12.75">
      <c r="F352" s="6"/>
      <c r="G352" s="6"/>
      <c r="H352" s="6"/>
      <c r="I352" s="6"/>
      <c r="J352" s="6"/>
      <c r="L352" s="53"/>
      <c r="M352" s="53"/>
      <c r="N352" s="53"/>
      <c r="O352" s="53"/>
      <c r="Q352" s="6"/>
      <c r="V352" s="53"/>
      <c r="W352" s="53"/>
    </row>
    <row r="353" spans="6:23" ht="12.75">
      <c r="F353" s="6"/>
      <c r="G353" s="6"/>
      <c r="H353" s="6"/>
      <c r="I353" s="6"/>
      <c r="J353" s="6"/>
      <c r="L353" s="53"/>
      <c r="M353" s="53"/>
      <c r="N353" s="53"/>
      <c r="O353" s="53"/>
      <c r="Q353" s="6"/>
      <c r="V353" s="53"/>
      <c r="W353" s="53"/>
    </row>
    <row r="354" spans="6:23" ht="12.75">
      <c r="F354" s="6"/>
      <c r="G354" s="6"/>
      <c r="H354" s="6"/>
      <c r="I354" s="6"/>
      <c r="J354" s="6"/>
      <c r="L354" s="53"/>
      <c r="M354" s="53"/>
      <c r="N354" s="53"/>
      <c r="O354" s="53"/>
      <c r="Q354" s="6"/>
      <c r="V354" s="53"/>
      <c r="W354" s="53"/>
    </row>
    <row r="355" spans="6:23" ht="12.75">
      <c r="F355" s="6"/>
      <c r="H355" s="6"/>
      <c r="I355" s="6"/>
      <c r="J355" s="6"/>
      <c r="K355" s="6"/>
      <c r="M355" s="53"/>
      <c r="N355" s="53"/>
      <c r="O355" s="53"/>
      <c r="P355" s="53"/>
      <c r="R355" s="6"/>
      <c r="S355" s="6"/>
      <c r="V355" s="53"/>
      <c r="W355" s="53"/>
    </row>
    <row r="356" spans="6:23" ht="12.75">
      <c r="F356" s="6"/>
      <c r="H356" s="6"/>
      <c r="I356" s="6"/>
      <c r="J356" s="6"/>
      <c r="K356" s="6"/>
      <c r="M356" s="53"/>
      <c r="N356" s="53"/>
      <c r="O356" s="53"/>
      <c r="P356" s="53"/>
      <c r="R356" s="6"/>
      <c r="S356" s="6"/>
      <c r="V356" s="53"/>
      <c r="W356" s="53"/>
    </row>
    <row r="357" spans="8:23" ht="12.75">
      <c r="H357" s="6"/>
      <c r="I357" s="6"/>
      <c r="J357" s="6"/>
      <c r="K357" s="6"/>
      <c r="M357" s="53"/>
      <c r="N357" s="53"/>
      <c r="O357" s="53"/>
      <c r="P357" s="53"/>
      <c r="R357" s="6"/>
      <c r="S357" s="6"/>
      <c r="V357" s="53"/>
      <c r="W357" s="53"/>
    </row>
    <row r="358" spans="8:23" ht="12.75">
      <c r="H358" s="6"/>
      <c r="I358" s="6"/>
      <c r="J358" s="6"/>
      <c r="K358" s="6"/>
      <c r="M358" s="53"/>
      <c r="N358" s="53"/>
      <c r="O358" s="53"/>
      <c r="P358" s="53"/>
      <c r="R358" s="6"/>
      <c r="S358" s="6"/>
      <c r="V358" s="53"/>
      <c r="W358" s="53"/>
    </row>
    <row r="359" spans="8:23" ht="12.75">
      <c r="H359" s="6"/>
      <c r="I359" s="6"/>
      <c r="J359" s="6"/>
      <c r="K359" s="6"/>
      <c r="M359" s="53"/>
      <c r="N359" s="53"/>
      <c r="O359" s="53"/>
      <c r="P359" s="53"/>
      <c r="R359" s="6"/>
      <c r="S359" s="6"/>
      <c r="V359" s="53"/>
      <c r="W359" s="53"/>
    </row>
    <row r="360" spans="8:23" ht="12.75">
      <c r="H360" s="6"/>
      <c r="I360" s="6"/>
      <c r="J360" s="6"/>
      <c r="K360" s="6"/>
      <c r="M360" s="53"/>
      <c r="N360" s="53"/>
      <c r="O360" s="53"/>
      <c r="P360" s="53"/>
      <c r="R360" s="6"/>
      <c r="S360" s="6"/>
      <c r="V360" s="53"/>
      <c r="W360" s="53"/>
    </row>
    <row r="361" spans="8:23" ht="12.75">
      <c r="H361" s="6"/>
      <c r="I361" s="6"/>
      <c r="J361" s="6"/>
      <c r="K361" s="6"/>
      <c r="M361" s="53"/>
      <c r="N361" s="53"/>
      <c r="O361" s="53"/>
      <c r="P361" s="53"/>
      <c r="R361" s="6"/>
      <c r="S361" s="6"/>
      <c r="V361" s="53"/>
      <c r="W361" s="53"/>
    </row>
    <row r="362" spans="8:23" ht="12.75">
      <c r="H362" s="6"/>
      <c r="I362" s="6"/>
      <c r="J362" s="6"/>
      <c r="K362" s="6"/>
      <c r="M362" s="53"/>
      <c r="N362" s="53"/>
      <c r="O362" s="53"/>
      <c r="P362" s="53"/>
      <c r="R362" s="6"/>
      <c r="S362" s="6"/>
      <c r="V362" s="53"/>
      <c r="W362" s="53"/>
    </row>
    <row r="363" spans="8:23" ht="12.75">
      <c r="H363" s="6"/>
      <c r="I363" s="6"/>
      <c r="J363" s="6"/>
      <c r="K363" s="6"/>
      <c r="M363" s="53"/>
      <c r="N363" s="53"/>
      <c r="O363" s="53"/>
      <c r="P363" s="53"/>
      <c r="R363" s="6"/>
      <c r="S363" s="6"/>
      <c r="V363" s="53"/>
      <c r="W363" s="53"/>
    </row>
    <row r="364" spans="8:23" ht="12.75">
      <c r="H364" s="6"/>
      <c r="I364" s="6"/>
      <c r="J364" s="6"/>
      <c r="K364" s="6"/>
      <c r="M364" s="53"/>
      <c r="N364" s="53"/>
      <c r="O364" s="53"/>
      <c r="P364" s="53"/>
      <c r="R364" s="6"/>
      <c r="S364" s="6"/>
      <c r="V364" s="53"/>
      <c r="W364" s="53"/>
    </row>
    <row r="365" spans="8:23" ht="12.75">
      <c r="H365" s="6"/>
      <c r="I365" s="6"/>
      <c r="J365" s="6"/>
      <c r="K365" s="6"/>
      <c r="M365" s="53"/>
      <c r="N365" s="53"/>
      <c r="O365" s="53"/>
      <c r="P365" s="53"/>
      <c r="R365" s="6"/>
      <c r="S365" s="6"/>
      <c r="V365" s="53"/>
      <c r="W365" s="53"/>
    </row>
    <row r="366" spans="8:23" ht="12.75">
      <c r="H366" s="6"/>
      <c r="I366" s="6"/>
      <c r="J366" s="6"/>
      <c r="K366" s="6"/>
      <c r="M366" s="53"/>
      <c r="N366" s="53"/>
      <c r="O366" s="53"/>
      <c r="P366" s="53"/>
      <c r="R366" s="6"/>
      <c r="S366" s="6"/>
      <c r="V366" s="53"/>
      <c r="W366" s="53"/>
    </row>
    <row r="367" spans="8:23" ht="12.75">
      <c r="H367" s="6"/>
      <c r="I367" s="6"/>
      <c r="J367" s="6"/>
      <c r="K367" s="6"/>
      <c r="M367" s="53"/>
      <c r="N367" s="53"/>
      <c r="O367" s="53"/>
      <c r="P367" s="53"/>
      <c r="R367" s="6"/>
      <c r="S367" s="6"/>
      <c r="V367" s="53"/>
      <c r="W367" s="53"/>
    </row>
    <row r="368" spans="8:23" ht="12.75">
      <c r="H368" s="6"/>
      <c r="I368" s="6"/>
      <c r="J368" s="6"/>
      <c r="K368" s="6"/>
      <c r="M368" s="53"/>
      <c r="N368" s="53"/>
      <c r="O368" s="53"/>
      <c r="P368" s="53"/>
      <c r="R368" s="6"/>
      <c r="S368" s="6"/>
      <c r="V368" s="53"/>
      <c r="W368" s="53"/>
    </row>
    <row r="369" spans="8:23" ht="12.75">
      <c r="H369" s="6"/>
      <c r="I369" s="6"/>
      <c r="J369" s="6"/>
      <c r="K369" s="6"/>
      <c r="M369" s="53"/>
      <c r="N369" s="53"/>
      <c r="O369" s="53"/>
      <c r="P369" s="53"/>
      <c r="R369" s="6"/>
      <c r="S369" s="6"/>
      <c r="V369" s="53"/>
      <c r="W369" s="53"/>
    </row>
    <row r="370" spans="8:23" ht="12.75">
      <c r="H370" s="6"/>
      <c r="I370" s="6"/>
      <c r="J370" s="6"/>
      <c r="K370" s="6"/>
      <c r="M370" s="53"/>
      <c r="N370" s="53"/>
      <c r="O370" s="53"/>
      <c r="P370" s="53"/>
      <c r="R370" s="6"/>
      <c r="S370" s="6"/>
      <c r="V370" s="53"/>
      <c r="W370" s="53"/>
    </row>
    <row r="371" spans="8:23" ht="12.75">
      <c r="H371" s="6"/>
      <c r="I371" s="6"/>
      <c r="J371" s="6"/>
      <c r="K371" s="6"/>
      <c r="M371" s="53"/>
      <c r="N371" s="53"/>
      <c r="O371" s="53"/>
      <c r="P371" s="53"/>
      <c r="R371" s="6"/>
      <c r="S371" s="6"/>
      <c r="V371" s="53"/>
      <c r="W371" s="53"/>
    </row>
    <row r="372" spans="8:23" ht="12.75">
      <c r="H372" s="6"/>
      <c r="I372" s="6"/>
      <c r="J372" s="6"/>
      <c r="K372" s="6"/>
      <c r="M372" s="53"/>
      <c r="N372" s="53"/>
      <c r="O372" s="53"/>
      <c r="P372" s="53"/>
      <c r="R372" s="6"/>
      <c r="S372" s="6"/>
      <c r="V372" s="53"/>
      <c r="W372" s="53"/>
    </row>
    <row r="373" spans="8:23" ht="12.75">
      <c r="H373" s="6"/>
      <c r="I373" s="6"/>
      <c r="J373" s="6"/>
      <c r="K373" s="6"/>
      <c r="M373" s="53"/>
      <c r="N373" s="53"/>
      <c r="O373" s="53"/>
      <c r="P373" s="53"/>
      <c r="R373" s="6"/>
      <c r="S373" s="6"/>
      <c r="V373" s="53"/>
      <c r="W373" s="53"/>
    </row>
    <row r="374" spans="8:23" ht="12.75">
      <c r="H374" s="6"/>
      <c r="I374" s="6"/>
      <c r="J374" s="6"/>
      <c r="K374" s="6"/>
      <c r="M374" s="53"/>
      <c r="N374" s="53"/>
      <c r="O374" s="53"/>
      <c r="P374" s="53"/>
      <c r="R374" s="6"/>
      <c r="S374" s="6"/>
      <c r="V374" s="53"/>
      <c r="W374" s="53"/>
    </row>
    <row r="375" spans="8:23" ht="12.75">
      <c r="H375" s="6"/>
      <c r="I375" s="6"/>
      <c r="J375" s="6"/>
      <c r="K375" s="6"/>
      <c r="M375" s="53"/>
      <c r="N375" s="53"/>
      <c r="O375" s="53"/>
      <c r="P375" s="53"/>
      <c r="R375" s="6"/>
      <c r="S375" s="6"/>
      <c r="V375" s="53"/>
      <c r="W375" s="53"/>
    </row>
    <row r="376" spans="8:23" ht="12.75">
      <c r="H376" s="6"/>
      <c r="I376" s="6"/>
      <c r="J376" s="6"/>
      <c r="K376" s="6"/>
      <c r="M376" s="53"/>
      <c r="N376" s="53"/>
      <c r="O376" s="53"/>
      <c r="P376" s="53"/>
      <c r="R376" s="6"/>
      <c r="S376" s="6"/>
      <c r="V376" s="53"/>
      <c r="W376" s="53"/>
    </row>
    <row r="377" spans="8:23" ht="12.75">
      <c r="H377" s="6"/>
      <c r="I377" s="6"/>
      <c r="J377" s="6"/>
      <c r="K377" s="6"/>
      <c r="M377" s="53"/>
      <c r="N377" s="53"/>
      <c r="O377" s="53"/>
      <c r="P377" s="53"/>
      <c r="R377" s="6"/>
      <c r="S377" s="6"/>
      <c r="V377" s="53"/>
      <c r="W377" s="53"/>
    </row>
    <row r="378" spans="8:23" ht="12.75">
      <c r="H378" s="6"/>
      <c r="I378" s="6"/>
      <c r="J378" s="6"/>
      <c r="K378" s="6"/>
      <c r="M378" s="53"/>
      <c r="N378" s="53"/>
      <c r="O378" s="53"/>
      <c r="P378" s="53"/>
      <c r="R378" s="6"/>
      <c r="S378" s="6"/>
      <c r="V378" s="53"/>
      <c r="W378" s="53"/>
    </row>
    <row r="379" spans="8:23" ht="12.75">
      <c r="H379" s="6"/>
      <c r="I379" s="6"/>
      <c r="J379" s="6"/>
      <c r="K379" s="6"/>
      <c r="M379" s="53"/>
      <c r="N379" s="53"/>
      <c r="O379" s="53"/>
      <c r="P379" s="53"/>
      <c r="R379" s="6"/>
      <c r="S379" s="6"/>
      <c r="V379" s="53"/>
      <c r="W379" s="53"/>
    </row>
    <row r="380" spans="8:23" ht="12.75">
      <c r="H380" s="6"/>
      <c r="I380" s="6"/>
      <c r="J380" s="6"/>
      <c r="K380" s="6"/>
      <c r="M380" s="53"/>
      <c r="N380" s="53"/>
      <c r="O380" s="53"/>
      <c r="P380" s="53"/>
      <c r="R380" s="6"/>
      <c r="S380" s="6"/>
      <c r="V380" s="53"/>
      <c r="W380" s="53"/>
    </row>
    <row r="381" spans="8:23" ht="12.75">
      <c r="H381" s="6"/>
      <c r="I381" s="6"/>
      <c r="J381" s="6"/>
      <c r="K381" s="6"/>
      <c r="M381" s="53"/>
      <c r="N381" s="53"/>
      <c r="O381" s="53"/>
      <c r="P381" s="53"/>
      <c r="R381" s="6"/>
      <c r="S381" s="6"/>
      <c r="V381" s="53"/>
      <c r="W381" s="53"/>
    </row>
    <row r="382" spans="8:23" ht="12.75">
      <c r="H382" s="6"/>
      <c r="I382" s="6"/>
      <c r="J382" s="6"/>
      <c r="K382" s="6"/>
      <c r="M382" s="53"/>
      <c r="N382" s="53"/>
      <c r="O382" s="53"/>
      <c r="P382" s="53"/>
      <c r="R382" s="6"/>
      <c r="S382" s="6"/>
      <c r="V382" s="53"/>
      <c r="W382" s="53"/>
    </row>
    <row r="383" spans="8:23" ht="12.75">
      <c r="H383" s="6"/>
      <c r="I383" s="6"/>
      <c r="J383" s="6"/>
      <c r="K383" s="6"/>
      <c r="M383" s="53"/>
      <c r="N383" s="53"/>
      <c r="O383" s="53"/>
      <c r="P383" s="53"/>
      <c r="R383" s="6"/>
      <c r="S383" s="6"/>
      <c r="V383" s="53"/>
      <c r="W383" s="53"/>
    </row>
    <row r="384" spans="9:23" ht="12.75">
      <c r="I384" s="6"/>
      <c r="J384" s="6"/>
      <c r="K384" s="6"/>
      <c r="N384" s="53"/>
      <c r="O384" s="53"/>
      <c r="P384" s="53"/>
      <c r="S384" s="6"/>
      <c r="T384" s="6"/>
      <c r="V384" s="53"/>
      <c r="W384" s="53"/>
    </row>
    <row r="385" spans="9:23" ht="12.75">
      <c r="I385" s="6"/>
      <c r="J385" s="6"/>
      <c r="K385" s="6"/>
      <c r="N385" s="53"/>
      <c r="O385" s="53"/>
      <c r="P385" s="53"/>
      <c r="S385" s="6"/>
      <c r="T385" s="6"/>
      <c r="V385" s="53"/>
      <c r="W385" s="53"/>
    </row>
    <row r="386" spans="9:23" ht="12.75">
      <c r="I386" s="6"/>
      <c r="J386" s="6"/>
      <c r="K386" s="6"/>
      <c r="N386" s="53"/>
      <c r="O386" s="53"/>
      <c r="P386" s="53"/>
      <c r="S386" s="6"/>
      <c r="T386" s="6"/>
      <c r="V386" s="53"/>
      <c r="W386" s="53"/>
    </row>
    <row r="387" spans="9:23" ht="12.75">
      <c r="I387" s="6"/>
      <c r="J387" s="6"/>
      <c r="K387" s="6"/>
      <c r="N387" s="53"/>
      <c r="O387" s="53"/>
      <c r="P387" s="53"/>
      <c r="S387" s="6"/>
      <c r="T387" s="6"/>
      <c r="V387" s="53"/>
      <c r="W387" s="53"/>
    </row>
    <row r="388" spans="9:23" ht="12.75">
      <c r="I388" s="6"/>
      <c r="J388" s="6"/>
      <c r="K388" s="6"/>
      <c r="N388" s="53"/>
      <c r="O388" s="53"/>
      <c r="P388" s="53"/>
      <c r="S388" s="6"/>
      <c r="T388" s="6"/>
      <c r="V388" s="53"/>
      <c r="W388" s="53"/>
    </row>
    <row r="389" spans="9:23" ht="12.75">
      <c r="I389" s="6"/>
      <c r="J389" s="6"/>
      <c r="K389" s="6"/>
      <c r="N389" s="53"/>
      <c r="O389" s="53"/>
      <c r="P389" s="53"/>
      <c r="S389" s="6"/>
      <c r="T389" s="6"/>
      <c r="V389" s="53"/>
      <c r="W389" s="53"/>
    </row>
    <row r="390" spans="9:23" ht="12.75">
      <c r="I390" s="6"/>
      <c r="J390" s="6"/>
      <c r="K390" s="6"/>
      <c r="N390" s="53"/>
      <c r="O390" s="53"/>
      <c r="P390" s="53"/>
      <c r="S390" s="6"/>
      <c r="T390" s="6"/>
      <c r="V390" s="53"/>
      <c r="W390" s="53"/>
    </row>
    <row r="391" spans="9:23" ht="12.75">
      <c r="I391" s="6"/>
      <c r="J391" s="6"/>
      <c r="K391" s="6"/>
      <c r="N391" s="53"/>
      <c r="O391" s="53"/>
      <c r="P391" s="53"/>
      <c r="S391" s="6"/>
      <c r="T391" s="6"/>
      <c r="V391" s="53"/>
      <c r="W391" s="53"/>
    </row>
    <row r="392" spans="9:23" ht="12.75">
      <c r="I392" s="6"/>
      <c r="J392" s="6"/>
      <c r="K392" s="6"/>
      <c r="N392" s="53"/>
      <c r="O392" s="53"/>
      <c r="P392" s="53"/>
      <c r="S392" s="6"/>
      <c r="T392" s="6"/>
      <c r="V392" s="53"/>
      <c r="W392" s="53"/>
    </row>
    <row r="393" spans="9:23" ht="12.75">
      <c r="I393" s="6"/>
      <c r="J393" s="6"/>
      <c r="K393" s="6"/>
      <c r="N393" s="53"/>
      <c r="O393" s="53"/>
      <c r="P393" s="53"/>
      <c r="S393" s="6"/>
      <c r="T393" s="6"/>
      <c r="V393" s="53"/>
      <c r="W393" s="53"/>
    </row>
  </sheetData>
  <sheetProtection password="C57E" sheet="1"/>
  <mergeCells count="1">
    <mergeCell ref="A250:E250"/>
  </mergeCells>
  <printOptions/>
  <pageMargins left="1" right="0.4" top="0.9" bottom="0.833333333333333" header="0.5" footer="0.333333333333333"/>
  <pageSetup horizontalDpi="300" verticalDpi="300" orientation="portrait" scale="81" r:id="rId3"/>
  <headerFooter alignWithMargins="0">
    <oddHeader>&amp;C&amp;"Arial,Bold"&amp;14Segregated-Early-Weaning Simulator Model&amp;RPage &amp;P</oddHeader>
  </headerFooter>
  <rowBreaks count="4" manualBreakCount="4">
    <brk id="66" max="4" man="1"/>
    <brk id="126" max="4" man="1"/>
    <brk id="188" max="4" man="1"/>
    <brk id="249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G. Levis</dc:creator>
  <cp:keywords/>
  <dc:description/>
  <cp:lastModifiedBy>Preferred Customer</cp:lastModifiedBy>
  <cp:lastPrinted>1999-05-25T17:12:39Z</cp:lastPrinted>
  <dcterms:created xsi:type="dcterms:W3CDTF">1998-12-23T14:19:48Z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