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120" windowHeight="4515" activeTab="0"/>
  </bookViews>
  <sheets>
    <sheet name="CommSemen" sheetId="1" r:id="rId1"/>
    <sheet name="Sheet1" sheetId="2" r:id="rId2"/>
    <sheet name="Sheet2" sheetId="3" r:id="rId3"/>
    <sheet name="Sheet3" sheetId="4" r:id="rId4"/>
  </sheets>
  <externalReferences>
    <externalReference r:id="rId7"/>
  </externalReferences>
  <definedNames>
    <definedName name="\X">'CommSemen'!$B$206</definedName>
    <definedName name="\Z">'[1]SEWModel'!#REF!</definedName>
    <definedName name="_xlnm.Print_Area" localSheetId="0">'CommSemen'!$A$1:$I$203</definedName>
  </definedNames>
  <calcPr fullCalcOnLoad="1"/>
</workbook>
</file>

<file path=xl/comments1.xml><?xml version="1.0" encoding="utf-8"?>
<comments xmlns="http://schemas.openxmlformats.org/spreadsheetml/2006/main">
  <authors>
    <author>Donald G. Levis</author>
  </authors>
  <commentList>
    <comment ref="H9" authorId="0">
      <text>
        <r>
          <rPr>
            <b/>
            <sz val="10"/>
            <rFont val="Tahoma"/>
            <family val="0"/>
          </rPr>
          <t>Donald G. Levis:</t>
        </r>
        <r>
          <rPr>
            <sz val="10"/>
            <rFont val="Tahoma"/>
            <family val="0"/>
          </rPr>
          <t xml:space="preserve">
Farrowing rate might be better with purchased semen.</t>
        </r>
      </text>
    </comment>
    <comment ref="A52" authorId="0">
      <text>
        <r>
          <rPr>
            <b/>
            <sz val="10"/>
            <rFont val="Tahoma"/>
            <family val="0"/>
          </rPr>
          <t>Donald G. Levis:</t>
        </r>
        <r>
          <rPr>
            <sz val="10"/>
            <rFont val="Tahoma"/>
            <family val="0"/>
          </rPr>
          <t xml:space="preserve">
If boars are collected twice per week, this value will most likely be a little less than twice the value in A45.</t>
        </r>
      </text>
    </comment>
    <comment ref="H11" authorId="0">
      <text>
        <r>
          <rPr>
            <b/>
            <sz val="10"/>
            <rFont val="Tahoma"/>
            <family val="0"/>
          </rPr>
          <t>Donald G. Levis:</t>
        </r>
        <r>
          <rPr>
            <sz val="10"/>
            <rFont val="Tahoma"/>
            <family val="0"/>
          </rPr>
          <t xml:space="preserve">
Litter size might imrove with better quality semen.</t>
        </r>
      </text>
    </comment>
    <comment ref="H59" authorId="0">
      <text>
        <r>
          <rPr>
            <b/>
            <sz val="10"/>
            <rFont val="Tahoma"/>
            <family val="0"/>
          </rPr>
          <t>Donald G. Levis:</t>
        </r>
        <r>
          <rPr>
            <sz val="10"/>
            <rFont val="Tahoma"/>
            <family val="0"/>
          </rPr>
          <t xml:space="preserve">
Examples of nonconsumable AI equipment are microscope, semen cooler, semen transport vessel, temperature recorder, etc.</t>
        </r>
      </text>
    </comment>
    <comment ref="H60" authorId="0">
      <text>
        <r>
          <rPr>
            <b/>
            <sz val="10"/>
            <rFont val="Tahoma"/>
            <family val="0"/>
          </rPr>
          <t>Donald G. Levis:</t>
        </r>
        <r>
          <rPr>
            <sz val="10"/>
            <rFont val="Tahoma"/>
            <family val="0"/>
          </rPr>
          <t xml:space="preserve">
Examples of consumable AI equipment are catheters, lubrication, paper towels, etc.</t>
        </r>
      </text>
    </comment>
    <comment ref="H73" authorId="0">
      <text>
        <r>
          <rPr>
            <b/>
            <sz val="10"/>
            <rFont val="Tahoma"/>
            <family val="0"/>
          </rPr>
          <t>Donald G. Levis:</t>
        </r>
        <r>
          <rPr>
            <sz val="10"/>
            <rFont val="Tahoma"/>
            <family val="0"/>
          </rPr>
          <t xml:space="preserve">
The use of better genetics should result in improved feed efficiency.</t>
        </r>
      </text>
    </comment>
    <comment ref="H85" authorId="0">
      <text>
        <r>
          <rPr>
            <b/>
            <sz val="10"/>
            <rFont val="Tahoma"/>
            <family val="0"/>
          </rPr>
          <t>Donald G. Levis:</t>
        </r>
        <r>
          <rPr>
            <sz val="10"/>
            <rFont val="Tahoma"/>
            <family val="0"/>
          </rPr>
          <t xml:space="preserve">
The use of better genetics should result in a better carcass.</t>
        </r>
      </text>
    </comment>
  </commentList>
</comments>
</file>

<file path=xl/sharedStrings.xml><?xml version="1.0" encoding="utf-8"?>
<sst xmlns="http://schemas.openxmlformats.org/spreadsheetml/2006/main" count="209" uniqueCount="172">
  <si>
    <t>Difference</t>
  </si>
  <si>
    <t>Commercial</t>
  </si>
  <si>
    <t>Initial weight of pig, lbs</t>
  </si>
  <si>
    <t>Weight of pigs at slaughter, lbs</t>
  </si>
  <si>
    <t>Price received at slaughter, $/lb</t>
  </si>
  <si>
    <t xml:space="preserve">   Starter 1 (lbs per pig; 8 to 13 lbs body weight)</t>
  </si>
  <si>
    <t xml:space="preserve">   Starter 2 (lbs per pig; 13 to 25 lbs body weight)</t>
  </si>
  <si>
    <t xml:space="preserve">   Starter 3 (lbs per pig; 25 to 45 lbs body weight)</t>
  </si>
  <si>
    <t xml:space="preserve">   Grower 1 (lbs per pig; 45 to 80 lbs)</t>
  </si>
  <si>
    <t xml:space="preserve">   Grower 2 (lbs per pig; 80 to 130 lbs body weight)</t>
  </si>
  <si>
    <t xml:space="preserve">   Finisher 1 (lbs per pig; 130 to 190 lbs body weight)</t>
  </si>
  <si>
    <t xml:space="preserve">   Finisher 2 (lbs per pig; 190 to 250 lbs body weight)</t>
  </si>
  <si>
    <t>Price of feed, $/lb</t>
  </si>
  <si>
    <t xml:space="preserve">   Starter 1</t>
  </si>
  <si>
    <t xml:space="preserve">   Starter 2</t>
  </si>
  <si>
    <t xml:space="preserve">   Starter 3</t>
  </si>
  <si>
    <t xml:space="preserve">   Grower 1</t>
  </si>
  <si>
    <t xml:space="preserve">   Grower 2</t>
  </si>
  <si>
    <t xml:space="preserve">   Finisher 1</t>
  </si>
  <si>
    <t xml:space="preserve">   Finisher 2</t>
  </si>
  <si>
    <t>Artificial Insemination Costs</t>
  </si>
  <si>
    <t>On-Farm expenses for AI</t>
  </si>
  <si>
    <t>Cost for doses of commercial semen</t>
  </si>
  <si>
    <t>Freight to deliver semen</t>
  </si>
  <si>
    <t>Total expense for AI semen</t>
  </si>
  <si>
    <t>AI semen cost per service</t>
  </si>
  <si>
    <t>AI semen cost per female bred</t>
  </si>
  <si>
    <t>AI semen cost per pig weaned</t>
  </si>
  <si>
    <t>AI semen cost per slaughter pig</t>
  </si>
  <si>
    <t>Number of females farrowed</t>
  </si>
  <si>
    <t>Total number of pigs weaned per period of analysis</t>
  </si>
  <si>
    <t>Total number of slaughter pigs per period of analysis</t>
  </si>
  <si>
    <t>Gross income at slaughter weight</t>
  </si>
  <si>
    <t>Income minus AI cost</t>
  </si>
  <si>
    <t>Influence of improved farrowing rate &amp; litter size born live</t>
  </si>
  <si>
    <t>Total lbs of feed per pig from weaning to slaughter</t>
  </si>
  <si>
    <t>Feed to gain ratio</t>
  </si>
  <si>
    <t>Total feed cost from weaning to slaughter, ($/pig)</t>
  </si>
  <si>
    <t>Feed cost for pigs from weaning to slaughter</t>
  </si>
  <si>
    <t>Number of slaughter pigs sold</t>
  </si>
  <si>
    <t>Feed cost from weaning to slaughter, ($/pig)</t>
  </si>
  <si>
    <t>Total feed cost for period of analysis</t>
  </si>
  <si>
    <t>Number of days in period of analysis</t>
  </si>
  <si>
    <t>Number of females bred per group</t>
  </si>
  <si>
    <t>Total number of sows farrowed during period of analysis</t>
  </si>
  <si>
    <t>Preweaning survival, %</t>
  </si>
  <si>
    <t>Total number of pigs weaned during period of analysis</t>
  </si>
  <si>
    <t>Survival rate weaning to market, %</t>
  </si>
  <si>
    <t>Number of On-Farm AI boars</t>
  </si>
  <si>
    <t>Number of heat-checking boars</t>
  </si>
  <si>
    <t>Cost of nonconsumable AI equipment, $</t>
  </si>
  <si>
    <t>Cost of consumable AI equipment, $</t>
  </si>
  <si>
    <t>Cost per dose of commercial semen, $</t>
  </si>
  <si>
    <t>Number of semen deliveries per group bred</t>
  </si>
  <si>
    <t>Cost for overnight freight per delivery</t>
  </si>
  <si>
    <t>Number of farrowing crates per group bred</t>
  </si>
  <si>
    <t>Total number of inseminations per group bred</t>
  </si>
  <si>
    <t>Average number of inseminations per female per estrus</t>
  </si>
  <si>
    <t>Interval between farrowings, days</t>
  </si>
  <si>
    <t>Total number of females bred in period of analysis</t>
  </si>
  <si>
    <t>Total number of groups bred in period of analysis</t>
  </si>
  <si>
    <t>Total number of services in period of analysis</t>
  </si>
  <si>
    <t>Estimated farrowing rate to be sure farrowing crates are full, %</t>
  </si>
  <si>
    <t>Actual farrowing rate, %</t>
  </si>
  <si>
    <t>Cost per pound of feed for AI boars</t>
  </si>
  <si>
    <t>Investment in heat-check boars (minus cull value), $</t>
  </si>
  <si>
    <t>Pounds of feed per heat-check boar per day</t>
  </si>
  <si>
    <t>Cost of heat-check boar feed,$</t>
  </si>
  <si>
    <t>Cost per pound of feed for heat-check boars, $</t>
  </si>
  <si>
    <t>Daily cost of housing structure for heat-check boars, $</t>
  </si>
  <si>
    <t>Cost of housing structure for heat-check boars, $</t>
  </si>
  <si>
    <t>Investment in On-Farm AI boars (minus cull value), $</t>
  </si>
  <si>
    <t>Pounds of feed per On-Farm AI boar per day</t>
  </si>
  <si>
    <t>Cost of On-Farm AI boar feed, $</t>
  </si>
  <si>
    <t>Animal husbandry labor for On-Farm AI boars, min/hd/day</t>
  </si>
  <si>
    <t>Labor to collect boars (min/collection)</t>
  </si>
  <si>
    <t>Labor to process semen (min/collection)</t>
  </si>
  <si>
    <t>Labor to clean laboratory (min/day of use)</t>
  </si>
  <si>
    <t>Rate of pay for labor ($ per hour)</t>
  </si>
  <si>
    <t>Average number of doses per collection</t>
  </si>
  <si>
    <t>Total number of collections per period of analysis</t>
  </si>
  <si>
    <t>Cost of labor to collect boars in period of analysis, $</t>
  </si>
  <si>
    <t>Cost of labor to process semen in period of analysis, $</t>
  </si>
  <si>
    <t>Cost of labor to clean laboratory in period of analysis, $</t>
  </si>
  <si>
    <t>Average number of doses per boar per week</t>
  </si>
  <si>
    <t>Minimum number of boars needed for sperm production</t>
  </si>
  <si>
    <t>On-Farm AI</t>
  </si>
  <si>
    <t>Distibution of feed (weaning to slaughter weight)</t>
  </si>
  <si>
    <t>Carcass premium</t>
  </si>
  <si>
    <t>Average number of Pigs Born Alive per Litter</t>
  </si>
  <si>
    <t xml:space="preserve">   Normal weaned sows before pigs transferred in</t>
  </si>
  <si>
    <t xml:space="preserve">   Early weaned/problem sows before pigs transferred out</t>
  </si>
  <si>
    <t xml:space="preserve">   Proportion of farrowing that are early weaned/problem sows</t>
  </si>
  <si>
    <t>Avg number of PIGS BORN ALIVE/sow farrowed/group</t>
  </si>
  <si>
    <t>Total number of slaughter pigs sold</t>
  </si>
  <si>
    <t>Isolation costs for On-Farm AI boars (housing), $</t>
  </si>
  <si>
    <t>Isolation costs for On-Farm AI boars (feed), $</t>
  </si>
  <si>
    <t>Isolation costs for On-Farm AI boars (veterinary fees), $</t>
  </si>
  <si>
    <t>Isolation costs for On-Farm AI boars (labor for animal care), $</t>
  </si>
  <si>
    <t>Isolation costs for On-Farm AI boars (labor for training boars), $</t>
  </si>
  <si>
    <t>Average purchase price of heat-check boars, $</t>
  </si>
  <si>
    <t>Cull value of heat-check boars, $</t>
  </si>
  <si>
    <t>Useful life span of heat-check boars, months</t>
  </si>
  <si>
    <t>Cull value of on-farm AI boars, $</t>
  </si>
  <si>
    <t>Farrowing Facility &amp; Productivity Factors</t>
  </si>
  <si>
    <t>Number of Boars &amp; Breeding Facility Management Factors</t>
  </si>
  <si>
    <t xml:space="preserve">Number of days in isolation </t>
  </si>
  <si>
    <t>Labor for care of animals (hours per day)</t>
  </si>
  <si>
    <t>Labor for training boars to mount dummy (total hours per boar)</t>
  </si>
  <si>
    <t>Feed cost ($ per pound)</t>
  </si>
  <si>
    <t>Boar feed (pounds per head per day)</t>
  </si>
  <si>
    <t>Boar housing ($ per day)</t>
  </si>
  <si>
    <t>Veterinary fees per boar</t>
  </si>
  <si>
    <t>Rate of pay for animal husbandry labor, $/hour</t>
  </si>
  <si>
    <t>Semen Processing Aspects</t>
  </si>
  <si>
    <r>
      <t>Cost of "</t>
    </r>
    <r>
      <rPr>
        <b/>
        <sz val="10"/>
        <rFont val="Arial"/>
        <family val="2"/>
      </rPr>
      <t>structure"</t>
    </r>
    <r>
      <rPr>
        <sz val="10"/>
        <rFont val="Arial"/>
        <family val="0"/>
      </rPr>
      <t xml:space="preserve"> for AI boars, collection area &amp; laboratory, $</t>
    </r>
  </si>
  <si>
    <t>Calculated Values</t>
  </si>
  <si>
    <t>Input Values</t>
  </si>
  <si>
    <t>Breeding Facility Aspects</t>
  </si>
  <si>
    <t>Farrowing Facility Aspects</t>
  </si>
  <si>
    <t>Isolation Facility Aspects</t>
  </si>
  <si>
    <t xml:space="preserve">Commercial Semen </t>
  </si>
  <si>
    <t>Calculated total pounds of feed</t>
  </si>
  <si>
    <t>Market weight and price</t>
  </si>
  <si>
    <t>Total cost of animal husbandry labor for On-Farm AI boars, $</t>
  </si>
  <si>
    <t>(CS-OnFS)</t>
  </si>
  <si>
    <t>Boar Isolation Phase for On-Farm AI Boars</t>
  </si>
  <si>
    <t>Useful life span of On-Farm AI boars, months</t>
  </si>
  <si>
    <t>Average purchase price of On-Farm AI boars, $</t>
  </si>
  <si>
    <t>Total number of pigs weaned per group</t>
  </si>
  <si>
    <t>Number of pigs weaned per group</t>
  </si>
  <si>
    <t>Number of slaughter pigs per period of analysis</t>
  </si>
  <si>
    <t>Template developed by D. G. Levis, University of Nebraska (April 1999)</t>
  </si>
  <si>
    <t>Gross income minus AI cost</t>
  </si>
  <si>
    <t>No improvement in farrowing rate, litter size, feed to gain or carcass quality</t>
  </si>
  <si>
    <t>Base price per head liveweight ($ per lb)</t>
  </si>
  <si>
    <t>Increase in base price per head liveweight ($ per lb)</t>
  </si>
  <si>
    <t>Average carcass premium ($ per head)</t>
  </si>
  <si>
    <t>Miscellaneous items</t>
  </si>
  <si>
    <t>National Legislative Pork Check-Off, $ per gross dollar value</t>
  </si>
  <si>
    <t>Freight insurance on slaughter pigs, $/lb of liveweight</t>
  </si>
  <si>
    <t>Useful life span of structure, years</t>
  </si>
  <si>
    <t>Percent of construction cost financed</t>
  </si>
  <si>
    <t>Interest rate, %</t>
  </si>
  <si>
    <t>Number of payment periods</t>
  </si>
  <si>
    <t>Yearly taxes (% of total investment)</t>
  </si>
  <si>
    <t>Yearly insurance (% of total investment)</t>
  </si>
  <si>
    <t>Total dollars borrowed for AI "structure"</t>
  </si>
  <si>
    <t>Amortized prinicipal and interest payment per year</t>
  </si>
  <si>
    <t>Nonfinanced dollars spread over useful life span of structure</t>
  </si>
  <si>
    <t>Taxes and insurance (yearly cost)</t>
  </si>
  <si>
    <t>Total cost of AI structure for period analyzed</t>
  </si>
  <si>
    <t>Number of collections per week (group)</t>
  </si>
  <si>
    <t>Number of days per week semen is collected</t>
  </si>
  <si>
    <t>Influence of "only" improving farrowing rate</t>
  </si>
  <si>
    <t>Influence of "only" improving litter size born live</t>
  </si>
  <si>
    <t>Influence of "only" improving feed efficiency</t>
  </si>
  <si>
    <t>Gross income with carcass premium</t>
  </si>
  <si>
    <t>Gross income minus AI Cost</t>
  </si>
  <si>
    <t>Influence of "only" improving carcass traits</t>
  </si>
  <si>
    <t>Gross income minus feed and AI cost</t>
  </si>
  <si>
    <t>Influence of improving farrowing rate, litter size,</t>
  </si>
  <si>
    <t>feed efficiency and carcass traits</t>
  </si>
  <si>
    <t>Average number of pigs weaned per litter</t>
  </si>
  <si>
    <t>Average number pigs born alive per group</t>
  </si>
  <si>
    <t>Average number of pigs born alive per litter</t>
  </si>
  <si>
    <t>Average number of pigs born alive per group</t>
  </si>
  <si>
    <t>Average number of pigs weaned per group</t>
  </si>
  <si>
    <t>Other expense items</t>
  </si>
  <si>
    <t>Check-off dollars to National Pork Board</t>
  </si>
  <si>
    <t>Freight insurance of slaughter pigs</t>
  </si>
  <si>
    <t>Calculated feed efficiency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</si>
</sst>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"/>
    <numFmt numFmtId="166" formatCode="0.0%"/>
    <numFmt numFmtId="167" formatCode="&quot;$&quot;#,##0.0000_);\(&quot;$&quot;#,##0.0000\)"/>
    <numFmt numFmtId="168" formatCode="&quot;$&quot;#,##0.000_);\(&quot;$&quot;#,##0.000\)"/>
    <numFmt numFmtId="169" formatCode="0.000"/>
    <numFmt numFmtId="170" formatCode="mmmm\ d\,\ yyyy"/>
    <numFmt numFmtId="171" formatCode="&quot;$&quot;#,##0"/>
    <numFmt numFmtId="172" formatCode="#,##0.0_);\(#,##0.0\)"/>
    <numFmt numFmtId="173" formatCode="&quot;$&quot;#,##0.0"/>
    <numFmt numFmtId="174" formatCode="&quot;$&quot;#,##0.000"/>
    <numFmt numFmtId="175" formatCode="&quot;$&quot;#,##0.00"/>
    <numFmt numFmtId="176" formatCode="&quot;$&quot;#,##0.0_);\(&quot;$&quot;#,##0.0\)"/>
    <numFmt numFmtId="177" formatCode="#,##0.0000"/>
    <numFmt numFmtId="178" formatCode="&quot;$&quot;#,##0.0000"/>
    <numFmt numFmtId="179" formatCode="0.0000"/>
  </numFmts>
  <fonts count="8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b/>
      <i/>
      <sz val="10"/>
      <name val="Arial"/>
      <family val="0"/>
    </font>
    <font>
      <b/>
      <sz val="10"/>
      <name val="Tahoma"/>
      <family val="0"/>
    </font>
    <font>
      <sz val="10"/>
      <name val="Tahoma"/>
      <family val="0"/>
    </font>
    <font>
      <b/>
      <sz val="8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lightGray">
        <bgColor indexed="9"/>
      </patternFill>
    </fill>
    <fill>
      <patternFill patternType="lightGray">
        <fgColor indexed="8"/>
        <bgColor indexed="9"/>
      </patternFill>
    </fill>
    <fill>
      <patternFill patternType="solid">
        <fgColor indexed="13"/>
        <bgColor indexed="64"/>
      </patternFill>
    </fill>
    <fill>
      <patternFill patternType="gray125">
        <fgColor indexed="32"/>
      </patternFill>
    </fill>
    <fill>
      <patternFill patternType="gray0625">
        <fgColor indexed="32"/>
      </patternFill>
    </fill>
    <fill>
      <patternFill patternType="gray06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ill="0" applyBorder="0" applyAlignment="0" applyProtection="0"/>
    <xf numFmtId="3" fontId="0" fillId="0" borderId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7" fontId="0" fillId="0" borderId="0" applyFill="0" applyBorder="0" applyAlignment="0" applyProtection="0"/>
    <xf numFmtId="5" fontId="0" fillId="0" borderId="0" applyFill="0" applyBorder="0" applyAlignment="0" applyProtection="0"/>
    <xf numFmtId="170" fontId="0" fillId="0" borderId="0" applyFill="0" applyBorder="0" applyAlignment="0" applyProtection="0"/>
    <xf numFmtId="2" fontId="0" fillId="0" borderId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10" fontId="0" fillId="0" borderId="0" applyFill="0" applyBorder="0" applyAlignment="0" applyProtection="0"/>
    <xf numFmtId="0" fontId="0" fillId="0" borderId="1" applyNumberFormat="0" applyFill="0" applyAlignment="0" applyProtection="0"/>
  </cellStyleXfs>
  <cellXfs count="126">
    <xf numFmtId="0" fontId="0" fillId="0" borderId="0" xfId="0" applyAlignment="1">
      <alignment/>
    </xf>
    <xf numFmtId="0" fontId="0" fillId="0" borderId="0" xfId="28">
      <alignment/>
      <protection/>
    </xf>
    <xf numFmtId="0" fontId="0" fillId="0" borderId="0" xfId="27" applyFont="1" applyAlignment="1">
      <alignment horizontal="center"/>
    </xf>
    <xf numFmtId="0" fontId="3" fillId="0" borderId="0" xfId="27" applyFont="1" applyAlignment="1">
      <alignment/>
    </xf>
    <xf numFmtId="0" fontId="3" fillId="0" borderId="0" xfId="27" applyFont="1" applyAlignment="1">
      <alignment horizontal="center"/>
    </xf>
    <xf numFmtId="0" fontId="3" fillId="0" borderId="0" xfId="27" applyFont="1" applyFill="1" applyAlignment="1">
      <alignment horizontal="center"/>
    </xf>
    <xf numFmtId="0" fontId="4" fillId="0" borderId="0" xfId="27" applyFont="1" applyAlignment="1">
      <alignment/>
    </xf>
    <xf numFmtId="0" fontId="0" fillId="0" borderId="0" xfId="27" applyFont="1" applyFill="1" applyAlignment="1">
      <alignment horizontal="center"/>
    </xf>
    <xf numFmtId="1" fontId="0" fillId="0" borderId="0" xfId="27" applyNumberFormat="1" applyFont="1" applyAlignment="1">
      <alignment horizontal="center"/>
    </xf>
    <xf numFmtId="1" fontId="0" fillId="0" borderId="0" xfId="27" applyNumberFormat="1" applyFont="1" applyFill="1" applyAlignment="1">
      <alignment horizontal="center"/>
    </xf>
    <xf numFmtId="166" fontId="0" fillId="0" borderId="0" xfId="27" applyNumberFormat="1" applyFont="1" applyFill="1" applyAlignment="1">
      <alignment horizontal="center"/>
    </xf>
    <xf numFmtId="166" fontId="0" fillId="0" borderId="0" xfId="27" applyNumberFormat="1" applyFont="1" applyAlignment="1">
      <alignment horizontal="center"/>
    </xf>
    <xf numFmtId="165" fontId="0" fillId="0" borderId="0" xfId="27" applyNumberFormat="1" applyFont="1" applyFill="1" applyAlignment="1">
      <alignment horizontal="center"/>
    </xf>
    <xf numFmtId="0" fontId="0" fillId="2" borderId="0" xfId="27" applyFont="1" applyFill="1" applyAlignment="1" applyProtection="1">
      <alignment horizontal="center"/>
      <protection locked="0"/>
    </xf>
    <xf numFmtId="2" fontId="0" fillId="0" borderId="0" xfId="27" applyNumberFormat="1" applyFont="1" applyAlignment="1">
      <alignment horizontal="center"/>
    </xf>
    <xf numFmtId="5" fontId="0" fillId="0" borderId="0" xfId="27" applyNumberFormat="1" applyFont="1" applyFill="1" applyAlignment="1">
      <alignment horizontal="center"/>
    </xf>
    <xf numFmtId="171" fontId="0" fillId="0" borderId="0" xfId="27" applyNumberFormat="1" applyFont="1" applyFill="1" applyAlignment="1">
      <alignment horizontal="center"/>
    </xf>
    <xf numFmtId="5" fontId="0" fillId="0" borderId="0" xfId="27" applyNumberFormat="1" applyFont="1" applyAlignment="1">
      <alignment horizontal="center"/>
    </xf>
    <xf numFmtId="7" fontId="0" fillId="0" borderId="0" xfId="27" applyNumberFormat="1" applyFont="1" applyFill="1" applyAlignment="1">
      <alignment horizontal="center"/>
    </xf>
    <xf numFmtId="7" fontId="0" fillId="0" borderId="0" xfId="27" applyNumberFormat="1" applyFont="1" applyAlignment="1">
      <alignment horizontal="center"/>
    </xf>
    <xf numFmtId="5" fontId="0" fillId="2" borderId="0" xfId="27" applyNumberFormat="1" applyFont="1" applyFill="1" applyAlignment="1" applyProtection="1">
      <alignment horizontal="center"/>
      <protection locked="0"/>
    </xf>
    <xf numFmtId="0" fontId="0" fillId="3" borderId="0" xfId="27" applyFont="1" applyFill="1" applyAlignment="1" applyProtection="1">
      <alignment horizontal="center"/>
      <protection locked="0"/>
    </xf>
    <xf numFmtId="2" fontId="0" fillId="0" borderId="0" xfId="27" applyNumberFormat="1" applyFont="1" applyFill="1" applyAlignment="1">
      <alignment horizontal="center"/>
    </xf>
    <xf numFmtId="167" fontId="0" fillId="3" borderId="0" xfId="27" applyNumberFormat="1" applyFont="1" applyFill="1" applyAlignment="1" applyProtection="1">
      <alignment horizontal="center"/>
      <protection locked="0"/>
    </xf>
    <xf numFmtId="0" fontId="0" fillId="4" borderId="0" xfId="27" applyFont="1" applyFill="1" applyAlignment="1">
      <alignment horizontal="center"/>
    </xf>
    <xf numFmtId="168" fontId="0" fillId="3" borderId="0" xfId="27" applyNumberFormat="1" applyFont="1" applyFill="1" applyAlignment="1" applyProtection="1">
      <alignment horizontal="center"/>
      <protection locked="0"/>
    </xf>
    <xf numFmtId="7" fontId="0" fillId="3" borderId="0" xfId="27" applyNumberFormat="1" applyFont="1" applyFill="1" applyAlignment="1" applyProtection="1">
      <alignment horizontal="center"/>
      <protection locked="0"/>
    </xf>
    <xf numFmtId="0" fontId="0" fillId="5" borderId="0" xfId="27" applyFont="1" applyFill="1" applyAlignment="1">
      <alignment horizontal="center"/>
    </xf>
    <xf numFmtId="0" fontId="0" fillId="5" borderId="0" xfId="27" applyFont="1" applyFill="1" applyAlignment="1">
      <alignment/>
    </xf>
    <xf numFmtId="0" fontId="0" fillId="6" borderId="0" xfId="27" applyFont="1" applyFill="1" applyAlignment="1">
      <alignment/>
    </xf>
    <xf numFmtId="5" fontId="3" fillId="0" borderId="0" xfId="27" applyNumberFormat="1" applyFont="1" applyFill="1" applyAlignment="1">
      <alignment horizontal="center"/>
    </xf>
    <xf numFmtId="0" fontId="3" fillId="0" borderId="0" xfId="27" applyFont="1" applyAlignment="1">
      <alignment horizontal="center"/>
    </xf>
    <xf numFmtId="0" fontId="3" fillId="0" borderId="0" xfId="27" applyFont="1" applyFill="1" applyAlignment="1">
      <alignment horizontal="center"/>
    </xf>
    <xf numFmtId="0" fontId="3" fillId="4" borderId="0" xfId="27" applyFont="1" applyFill="1" applyAlignment="1">
      <alignment/>
    </xf>
    <xf numFmtId="0" fontId="0" fillId="4" borderId="0" xfId="27" applyFont="1" applyFill="1" applyAlignment="1">
      <alignment/>
    </xf>
    <xf numFmtId="0" fontId="0" fillId="0" borderId="0" xfId="27" applyFont="1" applyFill="1" applyAlignment="1">
      <alignment/>
    </xf>
    <xf numFmtId="0" fontId="0" fillId="6" borderId="0" xfId="27" applyFont="1" applyFill="1" applyAlignment="1">
      <alignment horizontal="center"/>
    </xf>
    <xf numFmtId="0" fontId="0" fillId="0" borderId="0" xfId="27" applyFont="1" applyAlignment="1">
      <alignment horizontal="left"/>
    </xf>
    <xf numFmtId="0" fontId="0" fillId="0" borderId="0" xfId="28" applyFont="1">
      <alignment/>
      <protection/>
    </xf>
    <xf numFmtId="173" fontId="0" fillId="0" borderId="0" xfId="27" applyNumberFormat="1" applyFont="1" applyAlignment="1">
      <alignment horizontal="center"/>
    </xf>
    <xf numFmtId="0" fontId="3" fillId="0" borderId="0" xfId="28" applyFont="1">
      <alignment/>
      <protection/>
    </xf>
    <xf numFmtId="5" fontId="3" fillId="0" borderId="0" xfId="27" applyNumberFormat="1" applyFont="1" applyFill="1" applyAlignment="1">
      <alignment horizontal="center"/>
    </xf>
    <xf numFmtId="171" fontId="3" fillId="0" borderId="0" xfId="27" applyNumberFormat="1" applyFont="1" applyFill="1" applyAlignment="1">
      <alignment horizontal="center"/>
    </xf>
    <xf numFmtId="5" fontId="3" fillId="0" borderId="0" xfId="27" applyNumberFormat="1" applyFont="1" applyAlignment="1">
      <alignment horizontal="center"/>
    </xf>
    <xf numFmtId="175" fontId="0" fillId="0" borderId="0" xfId="27" applyNumberFormat="1" applyFont="1" applyAlignment="1">
      <alignment horizontal="center"/>
    </xf>
    <xf numFmtId="165" fontId="0" fillId="0" borderId="0" xfId="27" applyNumberFormat="1" applyFont="1" applyAlignment="1">
      <alignment horizontal="center"/>
    </xf>
    <xf numFmtId="166" fontId="0" fillId="0" borderId="0" xfId="29" applyNumberFormat="1" applyFont="1" applyAlignment="1">
      <alignment horizontal="center"/>
    </xf>
    <xf numFmtId="171" fontId="0" fillId="0" borderId="0" xfId="27" applyNumberFormat="1" applyFont="1" applyAlignment="1">
      <alignment horizontal="center"/>
    </xf>
    <xf numFmtId="0" fontId="0" fillId="0" borderId="0" xfId="28" applyFill="1">
      <alignment/>
      <protection/>
    </xf>
    <xf numFmtId="0" fontId="0" fillId="0" borderId="0" xfId="28" applyFont="1" applyFill="1">
      <alignment/>
      <protection/>
    </xf>
    <xf numFmtId="166" fontId="0" fillId="7" borderId="0" xfId="27" applyNumberFormat="1" applyFont="1" applyFill="1" applyAlignment="1" applyProtection="1">
      <alignment horizontal="center"/>
      <protection locked="0"/>
    </xf>
    <xf numFmtId="1" fontId="0" fillId="7" borderId="0" xfId="27" applyNumberFormat="1" applyFont="1" applyFill="1" applyAlignment="1" applyProtection="1">
      <alignment horizontal="center"/>
      <protection locked="0"/>
    </xf>
    <xf numFmtId="172" fontId="0" fillId="7" borderId="0" xfId="27" applyNumberFormat="1" applyFont="1" applyFill="1" applyAlignment="1" applyProtection="1">
      <alignment horizontal="center"/>
      <protection locked="0"/>
    </xf>
    <xf numFmtId="168" fontId="0" fillId="7" borderId="0" xfId="27" applyNumberFormat="1" applyFont="1" applyFill="1" applyAlignment="1" applyProtection="1">
      <alignment horizontal="center"/>
      <protection locked="0"/>
    </xf>
    <xf numFmtId="7" fontId="0" fillId="7" borderId="0" xfId="27" applyNumberFormat="1" applyFont="1" applyFill="1" applyAlignment="1" applyProtection="1">
      <alignment horizontal="center"/>
      <protection locked="0"/>
    </xf>
    <xf numFmtId="1" fontId="0" fillId="2" borderId="0" xfId="27" applyNumberFormat="1" applyFont="1" applyFill="1" applyAlignment="1" applyProtection="1">
      <alignment horizontal="center"/>
      <protection locked="0"/>
    </xf>
    <xf numFmtId="165" fontId="0" fillId="2" borderId="0" xfId="27" applyNumberFormat="1" applyFont="1" applyFill="1" applyAlignment="1" applyProtection="1">
      <alignment horizontal="center"/>
      <protection locked="0"/>
    </xf>
    <xf numFmtId="174" fontId="0" fillId="2" borderId="0" xfId="27" applyNumberFormat="1" applyFont="1" applyFill="1" applyAlignment="1" applyProtection="1">
      <alignment horizontal="center"/>
      <protection locked="0"/>
    </xf>
    <xf numFmtId="37" fontId="0" fillId="2" borderId="0" xfId="27" applyNumberFormat="1" applyFont="1" applyFill="1" applyAlignment="1" applyProtection="1">
      <alignment horizontal="center"/>
      <protection locked="0"/>
    </xf>
    <xf numFmtId="0" fontId="0" fillId="2" borderId="0" xfId="28" applyFill="1" applyAlignment="1" applyProtection="1">
      <alignment horizontal="center"/>
      <protection locked="0"/>
    </xf>
    <xf numFmtId="175" fontId="0" fillId="2" borderId="0" xfId="28" applyNumberFormat="1" applyFill="1" applyAlignment="1" applyProtection="1">
      <alignment horizontal="center"/>
      <protection locked="0"/>
    </xf>
    <xf numFmtId="0" fontId="0" fillId="0" borderId="0" xfId="27" applyFont="1" applyFill="1" applyAlignment="1" applyProtection="1">
      <alignment horizontal="center"/>
      <protection/>
    </xf>
    <xf numFmtId="2" fontId="0" fillId="0" borderId="0" xfId="27" applyNumberFormat="1" applyFont="1" applyFill="1" applyAlignment="1" applyProtection="1">
      <alignment horizontal="center"/>
      <protection/>
    </xf>
    <xf numFmtId="166" fontId="0" fillId="0" borderId="0" xfId="27" applyNumberFormat="1" applyFont="1" applyFill="1" applyAlignment="1" applyProtection="1">
      <alignment horizontal="center"/>
      <protection/>
    </xf>
    <xf numFmtId="1" fontId="0" fillId="0" borderId="0" xfId="27" applyNumberFormat="1" applyFont="1" applyFill="1" applyAlignment="1" applyProtection="1">
      <alignment horizontal="center"/>
      <protection/>
    </xf>
    <xf numFmtId="0" fontId="0" fillId="7" borderId="0" xfId="27" applyFont="1" applyFill="1" applyAlignment="1" applyProtection="1">
      <alignment horizontal="center"/>
      <protection locked="0"/>
    </xf>
    <xf numFmtId="2" fontId="0" fillId="7" borderId="0" xfId="27" applyNumberFormat="1" applyFont="1" applyFill="1" applyAlignment="1" applyProtection="1">
      <alignment horizontal="center"/>
      <protection locked="0"/>
    </xf>
    <xf numFmtId="2" fontId="0" fillId="2" borderId="0" xfId="27" applyNumberFormat="1" applyFont="1" applyFill="1" applyAlignment="1" applyProtection="1">
      <alignment horizontal="center"/>
      <protection locked="0"/>
    </xf>
    <xf numFmtId="10" fontId="0" fillId="7" borderId="0" xfId="27" applyNumberFormat="1" applyFont="1" applyFill="1" applyAlignment="1" applyProtection="1">
      <alignment horizontal="center"/>
      <protection locked="0"/>
    </xf>
    <xf numFmtId="171" fontId="0" fillId="2" borderId="0" xfId="27" applyNumberFormat="1" applyFont="1" applyFill="1" applyAlignment="1" applyProtection="1">
      <alignment horizontal="center"/>
      <protection locked="0"/>
    </xf>
    <xf numFmtId="5" fontId="3" fillId="0" borderId="0" xfId="27" applyNumberFormat="1" applyFont="1" applyFill="1" applyAlignment="1" applyProtection="1">
      <alignment horizontal="center"/>
      <protection/>
    </xf>
    <xf numFmtId="171" fontId="3" fillId="0" borderId="0" xfId="27" applyNumberFormat="1" applyFont="1" applyFill="1" applyAlignment="1" applyProtection="1">
      <alignment horizontal="center"/>
      <protection/>
    </xf>
    <xf numFmtId="171" fontId="0" fillId="0" borderId="0" xfId="19" applyNumberFormat="1" applyFont="1" applyAlignment="1">
      <alignment horizontal="center"/>
    </xf>
    <xf numFmtId="0" fontId="0" fillId="0" borderId="0" xfId="27" applyFont="1" applyFill="1" applyAlignment="1" applyProtection="1">
      <alignment horizontal="center"/>
      <protection locked="0"/>
    </xf>
    <xf numFmtId="0" fontId="3" fillId="0" borderId="0" xfId="28" applyFont="1" applyFill="1">
      <alignment/>
      <protection/>
    </xf>
    <xf numFmtId="166" fontId="0" fillId="0" borderId="0" xfId="27" applyNumberFormat="1" applyFont="1" applyFill="1" applyAlignment="1" applyProtection="1">
      <alignment horizontal="center"/>
      <protection locked="0"/>
    </xf>
    <xf numFmtId="0" fontId="0" fillId="0" borderId="0" xfId="28" applyFont="1">
      <alignment/>
      <protection/>
    </xf>
    <xf numFmtId="175" fontId="0" fillId="7" borderId="0" xfId="27" applyNumberFormat="1" applyFont="1" applyFill="1" applyAlignment="1" applyProtection="1">
      <alignment horizontal="center"/>
      <protection locked="0"/>
    </xf>
    <xf numFmtId="169" fontId="0" fillId="7" borderId="0" xfId="27" applyNumberFormat="1" applyFont="1" applyFill="1" applyAlignment="1" applyProtection="1">
      <alignment horizontal="center"/>
      <protection locked="0"/>
    </xf>
    <xf numFmtId="171" fontId="0" fillId="7" borderId="0" xfId="27" applyNumberFormat="1" applyFont="1" applyFill="1" applyAlignment="1" applyProtection="1">
      <alignment horizontal="center"/>
      <protection locked="0"/>
    </xf>
    <xf numFmtId="5" fontId="0" fillId="2" borderId="0" xfId="27" applyNumberFormat="1" applyFont="1" applyFill="1" applyAlignment="1" applyProtection="1">
      <alignment horizontal="center"/>
      <protection locked="0"/>
    </xf>
    <xf numFmtId="7" fontId="0" fillId="0" borderId="0" xfId="27" applyNumberFormat="1" applyFont="1" applyFill="1" applyAlignment="1" applyProtection="1">
      <alignment horizontal="center"/>
      <protection locked="0"/>
    </xf>
    <xf numFmtId="5" fontId="0" fillId="7" borderId="0" xfId="27" applyNumberFormat="1" applyFont="1" applyFill="1" applyAlignment="1" applyProtection="1">
      <alignment horizontal="center"/>
      <protection locked="0"/>
    </xf>
    <xf numFmtId="0" fontId="2" fillId="0" borderId="0" xfId="27" applyFont="1" applyFill="1" applyAlignment="1">
      <alignment horizont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27" applyFont="1" applyAlignment="1">
      <alignment/>
    </xf>
    <xf numFmtId="7" fontId="0" fillId="0" borderId="0" xfId="27" applyNumberFormat="1" applyFont="1" applyFill="1" applyAlignment="1" applyProtection="1">
      <alignment horizontal="center"/>
      <protection/>
    </xf>
    <xf numFmtId="5" fontId="0" fillId="0" borderId="0" xfId="27" applyNumberFormat="1" applyFont="1" applyFill="1" applyAlignment="1" applyProtection="1">
      <alignment horizontal="center"/>
      <protection locked="0"/>
    </xf>
    <xf numFmtId="5" fontId="0" fillId="8" borderId="0" xfId="27" applyNumberFormat="1" applyFont="1" applyFill="1" applyAlignment="1" applyProtection="1">
      <alignment horizontal="center"/>
      <protection locked="0"/>
    </xf>
    <xf numFmtId="0" fontId="0" fillId="8" borderId="0" xfId="28" applyFont="1" applyFill="1">
      <alignment/>
      <protection/>
    </xf>
    <xf numFmtId="0" fontId="0" fillId="8" borderId="0" xfId="28" applyFill="1">
      <alignment/>
      <protection/>
    </xf>
    <xf numFmtId="173" fontId="0" fillId="8" borderId="0" xfId="27" applyNumberFormat="1" applyFont="1" applyFill="1" applyAlignment="1">
      <alignment horizontal="center"/>
    </xf>
    <xf numFmtId="165" fontId="0" fillId="0" borderId="0" xfId="27" applyNumberFormat="1" applyFont="1" applyFill="1" applyAlignment="1" applyProtection="1">
      <alignment horizontal="center"/>
      <protection/>
    </xf>
    <xf numFmtId="171" fontId="0" fillId="0" borderId="0" xfId="27" applyNumberFormat="1" applyFont="1" applyFill="1" applyAlignment="1" applyProtection="1">
      <alignment horizontal="center"/>
      <protection/>
    </xf>
    <xf numFmtId="3" fontId="0" fillId="0" borderId="0" xfId="27" applyNumberFormat="1" applyFont="1" applyFill="1" applyAlignment="1" applyProtection="1">
      <alignment horizontal="center"/>
      <protection/>
    </xf>
    <xf numFmtId="173" fontId="0" fillId="0" borderId="0" xfId="27" applyNumberFormat="1" applyFont="1" applyFill="1" applyAlignment="1" applyProtection="1">
      <alignment horizontal="center"/>
      <protection/>
    </xf>
    <xf numFmtId="174" fontId="0" fillId="0" borderId="0" xfId="27" applyNumberFormat="1" applyFont="1" applyFill="1" applyAlignment="1" applyProtection="1">
      <alignment horizontal="center"/>
      <protection/>
    </xf>
    <xf numFmtId="172" fontId="0" fillId="0" borderId="0" xfId="27" applyNumberFormat="1" applyFont="1" applyFill="1" applyAlignment="1" applyProtection="1">
      <alignment horizontal="center"/>
      <protection/>
    </xf>
    <xf numFmtId="7" fontId="0" fillId="0" borderId="0" xfId="27" applyNumberFormat="1" applyFont="1" applyAlignment="1" applyProtection="1">
      <alignment horizontal="center"/>
      <protection/>
    </xf>
    <xf numFmtId="0" fontId="0" fillId="0" borderId="0" xfId="27" applyFont="1" applyAlignment="1" applyProtection="1">
      <alignment horizontal="center"/>
      <protection/>
    </xf>
    <xf numFmtId="2" fontId="0" fillId="3" borderId="0" xfId="27" applyNumberFormat="1" applyFont="1" applyFill="1" applyAlignment="1" applyProtection="1">
      <alignment horizontal="center"/>
      <protection locked="0"/>
    </xf>
    <xf numFmtId="10" fontId="0" fillId="3" borderId="0" xfId="27" applyNumberFormat="1" applyFont="1" applyFill="1" applyAlignment="1" applyProtection="1">
      <alignment horizontal="center"/>
      <protection locked="0"/>
    </xf>
    <xf numFmtId="175" fontId="3" fillId="0" borderId="0" xfId="27" applyNumberFormat="1" applyFont="1" applyFill="1" applyAlignment="1" applyProtection="1">
      <alignment horizontal="center"/>
      <protection/>
    </xf>
    <xf numFmtId="0" fontId="3" fillId="0" borderId="0" xfId="27" applyFont="1" applyFill="1" applyAlignment="1" applyProtection="1">
      <alignment horizontal="center"/>
      <protection/>
    </xf>
    <xf numFmtId="164" fontId="0" fillId="0" borderId="0" xfId="28" applyNumberFormat="1" applyFill="1" applyAlignment="1" applyProtection="1">
      <alignment horizontal="center"/>
      <protection/>
    </xf>
    <xf numFmtId="7" fontId="3" fillId="0" borderId="0" xfId="27" applyNumberFormat="1" applyFont="1" applyFill="1" applyAlignment="1" applyProtection="1">
      <alignment horizontal="center"/>
      <protection/>
    </xf>
    <xf numFmtId="3" fontId="0" fillId="0" borderId="0" xfId="28" applyNumberFormat="1" applyFill="1" applyAlignment="1" applyProtection="1">
      <alignment horizontal="center"/>
      <protection/>
    </xf>
    <xf numFmtId="167" fontId="0" fillId="0" borderId="0" xfId="27" applyNumberFormat="1" applyFont="1" applyFill="1" applyAlignment="1" applyProtection="1">
      <alignment horizontal="center"/>
      <protection locked="0"/>
    </xf>
    <xf numFmtId="167" fontId="0" fillId="0" borderId="0" xfId="27" applyNumberFormat="1" applyFont="1" applyFill="1" applyAlignment="1" applyProtection="1">
      <alignment horizontal="center"/>
      <protection/>
    </xf>
    <xf numFmtId="178" fontId="0" fillId="3" borderId="0" xfId="27" applyNumberFormat="1" applyFont="1" applyFill="1" applyAlignment="1" applyProtection="1">
      <alignment horizontal="center"/>
      <protection locked="0"/>
    </xf>
    <xf numFmtId="178" fontId="0" fillId="0" borderId="0" xfId="27" applyNumberFormat="1" applyFont="1" applyAlignment="1">
      <alignment horizontal="center"/>
    </xf>
    <xf numFmtId="10" fontId="0" fillId="2" borderId="0" xfId="27" applyNumberFormat="1" applyFont="1" applyFill="1" applyAlignment="1" applyProtection="1">
      <alignment horizontal="center"/>
      <protection locked="0"/>
    </xf>
    <xf numFmtId="172" fontId="0" fillId="2" borderId="0" xfId="27" applyNumberFormat="1" applyFont="1" applyFill="1" applyAlignment="1" applyProtection="1">
      <alignment horizontal="center"/>
      <protection locked="0"/>
    </xf>
    <xf numFmtId="7" fontId="0" fillId="0" borderId="0" xfId="27" applyNumberFormat="1" applyFont="1" applyFill="1" applyAlignment="1" applyProtection="1">
      <alignment horizontal="center"/>
      <protection/>
    </xf>
    <xf numFmtId="5" fontId="0" fillId="0" borderId="0" xfId="27" applyNumberFormat="1" applyFont="1" applyFill="1" applyAlignment="1">
      <alignment horizontal="center"/>
    </xf>
    <xf numFmtId="0" fontId="3" fillId="0" borderId="0" xfId="27" applyFont="1" applyAlignment="1" applyProtection="1">
      <alignment horizontal="center"/>
      <protection/>
    </xf>
    <xf numFmtId="171" fontId="3" fillId="0" borderId="0" xfId="27" applyNumberFormat="1" applyFont="1" applyAlignment="1">
      <alignment horizontal="center"/>
    </xf>
    <xf numFmtId="174" fontId="0" fillId="0" borderId="0" xfId="27" applyNumberFormat="1" applyFont="1" applyAlignment="1">
      <alignment horizontal="center"/>
    </xf>
    <xf numFmtId="171" fontId="0" fillId="0" borderId="0" xfId="27" applyNumberFormat="1" applyFont="1" applyAlignment="1">
      <alignment horizontal="center"/>
    </xf>
    <xf numFmtId="0" fontId="2" fillId="9" borderId="0" xfId="27" applyFont="1" applyFill="1" applyAlignment="1">
      <alignment horizontal="center"/>
    </xf>
    <xf numFmtId="0" fontId="2" fillId="10" borderId="0" xfId="0" applyFont="1" applyFill="1" applyAlignment="1">
      <alignment/>
    </xf>
    <xf numFmtId="0" fontId="3" fillId="10" borderId="0" xfId="27" applyFont="1" applyFill="1" applyAlignment="1">
      <alignment horizontal="center"/>
    </xf>
    <xf numFmtId="0" fontId="3" fillId="10" borderId="0" xfId="0" applyFont="1" applyFill="1" applyAlignment="1">
      <alignment/>
    </xf>
    <xf numFmtId="7" fontId="3" fillId="10" borderId="0" xfId="27" applyNumberFormat="1" applyFont="1" applyFill="1" applyAlignment="1" applyProtection="1">
      <alignment horizontal="center"/>
      <protection/>
    </xf>
    <xf numFmtId="0" fontId="0" fillId="10" borderId="0" xfId="0" applyFill="1" applyAlignment="1">
      <alignment/>
    </xf>
  </cellXfs>
  <cellStyles count="18">
    <cellStyle name="Normal" xfId="0"/>
    <cellStyle name="Comma" xfId="15"/>
    <cellStyle name="Comma [0]" xfId="16"/>
    <cellStyle name="Comma_studs" xfId="17"/>
    <cellStyle name="Comma0" xfId="18"/>
    <cellStyle name="Currency" xfId="19"/>
    <cellStyle name="Currency [0]" xfId="20"/>
    <cellStyle name="Currency_studs" xfId="21"/>
    <cellStyle name="Currency0" xfId="22"/>
    <cellStyle name="Date" xfId="23"/>
    <cellStyle name="Fixed" xfId="24"/>
    <cellStyle name="Heading 1" xfId="25"/>
    <cellStyle name="Heading 2" xfId="26"/>
    <cellStyle name="normal_studs" xfId="27"/>
    <cellStyle name="Normal_studs_1" xfId="28"/>
    <cellStyle name="Percent" xfId="29"/>
    <cellStyle name="Percent_studs" xfId="30"/>
    <cellStyle name="Total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y%20Documents\stud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DUCTION"/>
      <sheetName val="OnFarmStud"/>
      <sheetName val="Cooperative"/>
      <sheetName val="FeeForService"/>
      <sheetName val="CommercialStud"/>
      <sheetName val="Summary"/>
      <sheetName val="SEWModel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I203"/>
  <sheetViews>
    <sheetView tabSelected="1" showOutlineSymbols="0" workbookViewId="0" topLeftCell="A1">
      <selection activeCell="A1" sqref="A1:I1"/>
    </sheetView>
  </sheetViews>
  <sheetFormatPr defaultColWidth="9.140625" defaultRowHeight="12.75"/>
  <cols>
    <col min="1" max="1" width="12.28125" style="2" customWidth="1"/>
    <col min="2" max="7" width="9.140625" style="1" customWidth="1"/>
    <col min="8" max="8" width="13.57421875" style="2" customWidth="1"/>
    <col min="9" max="9" width="11.28125" style="2" customWidth="1"/>
    <col min="10" max="16384" width="9.140625" style="1" customWidth="1"/>
  </cols>
  <sheetData>
    <row r="1" spans="1:9" ht="12.75">
      <c r="A1" s="122" t="s">
        <v>117</v>
      </c>
      <c r="B1" s="123"/>
      <c r="C1" s="123"/>
      <c r="D1" s="123"/>
      <c r="E1" s="123"/>
      <c r="F1" s="123"/>
      <c r="G1" s="123"/>
      <c r="H1" s="123"/>
      <c r="I1" s="123"/>
    </row>
    <row r="2" spans="3:9" ht="12.75">
      <c r="C2" s="3"/>
      <c r="H2" s="4"/>
      <c r="I2" s="4" t="s">
        <v>0</v>
      </c>
    </row>
    <row r="3" spans="1:9" ht="12.75">
      <c r="A3" s="5" t="s">
        <v>86</v>
      </c>
      <c r="B3" s="6"/>
      <c r="F3" s="3"/>
      <c r="H3" s="4" t="s">
        <v>1</v>
      </c>
      <c r="I3" s="4" t="s">
        <v>125</v>
      </c>
    </row>
    <row r="4" spans="1:9" ht="12.75">
      <c r="A4" s="65">
        <v>365</v>
      </c>
      <c r="B4" s="38" t="s">
        <v>42</v>
      </c>
      <c r="H4" s="7">
        <f>A4</f>
        <v>365</v>
      </c>
      <c r="I4" s="45">
        <f>H4-A4</f>
        <v>0</v>
      </c>
    </row>
    <row r="5" spans="1:9" ht="12.75">
      <c r="A5" s="73"/>
      <c r="B5" s="74" t="s">
        <v>104</v>
      </c>
      <c r="C5" s="48"/>
      <c r="D5" s="48"/>
      <c r="E5" s="48"/>
      <c r="F5" s="48"/>
      <c r="G5" s="48"/>
      <c r="H5" s="7"/>
      <c r="I5" s="12"/>
    </row>
    <row r="6" spans="1:9" ht="12.75">
      <c r="A6" s="51">
        <v>35</v>
      </c>
      <c r="B6" s="38" t="s">
        <v>58</v>
      </c>
      <c r="H6" s="9">
        <f>A6</f>
        <v>35</v>
      </c>
      <c r="I6" s="45">
        <f>H6-A6</f>
        <v>0</v>
      </c>
    </row>
    <row r="7" spans="1:9" ht="12.75">
      <c r="A7" s="65">
        <v>20</v>
      </c>
      <c r="B7" s="38" t="s">
        <v>55</v>
      </c>
      <c r="H7" s="7">
        <f>A7</f>
        <v>20</v>
      </c>
      <c r="I7" s="45">
        <f>H7-A7</f>
        <v>0</v>
      </c>
    </row>
    <row r="8" spans="1:9" ht="12.75">
      <c r="A8" s="50">
        <v>0.835</v>
      </c>
      <c r="B8" s="38" t="s">
        <v>62</v>
      </c>
      <c r="H8" s="63">
        <f>A8</f>
        <v>0.835</v>
      </c>
      <c r="I8" s="11">
        <f>H8-A8</f>
        <v>0</v>
      </c>
    </row>
    <row r="9" spans="1:9" ht="12.75">
      <c r="A9" s="50">
        <v>0.835</v>
      </c>
      <c r="B9" s="38" t="s">
        <v>63</v>
      </c>
      <c r="H9" s="50">
        <v>0.87</v>
      </c>
      <c r="I9" s="11">
        <f>H9-A9</f>
        <v>0.03500000000000003</v>
      </c>
    </row>
    <row r="10" spans="1:9" ht="12.75">
      <c r="A10" s="9"/>
      <c r="B10" s="38" t="s">
        <v>89</v>
      </c>
      <c r="H10" s="9"/>
      <c r="I10" s="45"/>
    </row>
    <row r="11" spans="1:9" ht="12.75">
      <c r="A11" s="66">
        <v>10.5</v>
      </c>
      <c r="B11" s="38" t="s">
        <v>90</v>
      </c>
      <c r="H11" s="67">
        <v>11</v>
      </c>
      <c r="I11" s="14">
        <f aca="true" t="shared" si="0" ref="I11:I16">H11-A11</f>
        <v>0.5</v>
      </c>
    </row>
    <row r="12" spans="1:9" ht="12.75">
      <c r="A12" s="66">
        <v>9</v>
      </c>
      <c r="B12" s="38" t="s">
        <v>91</v>
      </c>
      <c r="H12" s="101">
        <v>9.2</v>
      </c>
      <c r="I12" s="14">
        <f t="shared" si="0"/>
        <v>0.1999999999999993</v>
      </c>
    </row>
    <row r="13" spans="1:9" ht="12.75">
      <c r="A13" s="68">
        <v>0.04</v>
      </c>
      <c r="B13" s="38" t="s">
        <v>92</v>
      </c>
      <c r="H13" s="102">
        <v>0.03</v>
      </c>
      <c r="I13" s="14">
        <f t="shared" si="0"/>
        <v>-0.010000000000000002</v>
      </c>
    </row>
    <row r="14" spans="1:9" ht="12.75">
      <c r="A14" s="50">
        <v>0.91</v>
      </c>
      <c r="B14" s="38" t="s">
        <v>45</v>
      </c>
      <c r="H14" s="10">
        <f>A14</f>
        <v>0.91</v>
      </c>
      <c r="I14" s="11">
        <f t="shared" si="0"/>
        <v>0</v>
      </c>
    </row>
    <row r="15" spans="1:9" ht="12.75">
      <c r="A15" s="67">
        <v>10</v>
      </c>
      <c r="B15" s="1" t="s">
        <v>2</v>
      </c>
      <c r="H15" s="67">
        <v>10</v>
      </c>
      <c r="I15" s="45">
        <f t="shared" si="0"/>
        <v>0</v>
      </c>
    </row>
    <row r="16" spans="1:9" ht="12.75">
      <c r="A16" s="50">
        <v>0.975</v>
      </c>
      <c r="B16" s="38" t="s">
        <v>47</v>
      </c>
      <c r="H16" s="63">
        <f>A16</f>
        <v>0.975</v>
      </c>
      <c r="I16" s="46">
        <f t="shared" si="0"/>
        <v>0</v>
      </c>
    </row>
    <row r="17" spans="1:9" ht="12.75">
      <c r="A17" s="75"/>
      <c r="B17" s="40" t="s">
        <v>126</v>
      </c>
      <c r="H17" s="63"/>
      <c r="I17" s="46"/>
    </row>
    <row r="18" spans="1:9" ht="12.75">
      <c r="A18" s="51">
        <v>60</v>
      </c>
      <c r="B18" s="76" t="s">
        <v>106</v>
      </c>
      <c r="H18" s="93">
        <v>0</v>
      </c>
      <c r="I18" s="46"/>
    </row>
    <row r="19" spans="1:9" ht="12.75">
      <c r="A19" s="66">
        <v>0.4</v>
      </c>
      <c r="B19" s="76" t="s">
        <v>107</v>
      </c>
      <c r="H19" s="93">
        <v>0</v>
      </c>
      <c r="I19" s="46"/>
    </row>
    <row r="20" spans="1:9" ht="12.75">
      <c r="A20" s="66">
        <v>8.75</v>
      </c>
      <c r="B20" s="76" t="s">
        <v>108</v>
      </c>
      <c r="H20" s="93">
        <v>0</v>
      </c>
      <c r="I20" s="46"/>
    </row>
    <row r="21" spans="1:9" ht="12.75">
      <c r="A21" s="77">
        <v>10</v>
      </c>
      <c r="B21" s="76" t="s">
        <v>78</v>
      </c>
      <c r="H21" s="93">
        <v>0</v>
      </c>
      <c r="I21" s="46"/>
    </row>
    <row r="22" spans="1:9" ht="12.75">
      <c r="A22" s="78">
        <v>0.05</v>
      </c>
      <c r="B22" s="76" t="s">
        <v>109</v>
      </c>
      <c r="H22" s="93">
        <v>0</v>
      </c>
      <c r="I22" s="46"/>
    </row>
    <row r="23" spans="1:9" ht="12.75">
      <c r="A23" s="66">
        <v>6.5</v>
      </c>
      <c r="B23" s="76" t="s">
        <v>110</v>
      </c>
      <c r="H23" s="93">
        <v>0</v>
      </c>
      <c r="I23" s="46"/>
    </row>
    <row r="24" spans="1:9" ht="12.75">
      <c r="A24" s="77">
        <v>0.5</v>
      </c>
      <c r="B24" s="76" t="s">
        <v>111</v>
      </c>
      <c r="H24" s="93">
        <v>0</v>
      </c>
      <c r="I24" s="46"/>
    </row>
    <row r="25" spans="1:9" ht="12.75">
      <c r="A25" s="79">
        <v>120</v>
      </c>
      <c r="B25" s="76" t="s">
        <v>112</v>
      </c>
      <c r="H25" s="93">
        <v>0</v>
      </c>
      <c r="I25" s="46"/>
    </row>
    <row r="26" spans="1:9" ht="12.75">
      <c r="A26" s="75"/>
      <c r="B26" s="40" t="s">
        <v>105</v>
      </c>
      <c r="H26" s="63"/>
      <c r="I26" s="46"/>
    </row>
    <row r="27" spans="1:9" ht="12.75">
      <c r="A27" s="51">
        <v>2</v>
      </c>
      <c r="B27" s="38" t="s">
        <v>48</v>
      </c>
      <c r="H27" s="61">
        <v>0</v>
      </c>
      <c r="I27" s="45">
        <f>H27-A27</f>
        <v>-2</v>
      </c>
    </row>
    <row r="28" spans="1:9" ht="12.75">
      <c r="A28" s="51">
        <v>16</v>
      </c>
      <c r="B28" s="38" t="s">
        <v>127</v>
      </c>
      <c r="H28" s="61"/>
      <c r="I28" s="45"/>
    </row>
    <row r="29" spans="1:9" ht="12.75">
      <c r="A29" s="55">
        <v>1</v>
      </c>
      <c r="B29" s="38" t="s">
        <v>49</v>
      </c>
      <c r="H29" s="61">
        <f>A29</f>
        <v>1</v>
      </c>
      <c r="I29" s="45">
        <f>H29-A29</f>
        <v>0</v>
      </c>
    </row>
    <row r="30" spans="1:9" ht="12.75">
      <c r="A30" s="55">
        <v>12</v>
      </c>
      <c r="B30" s="38" t="s">
        <v>102</v>
      </c>
      <c r="H30" s="64">
        <f>A30</f>
        <v>12</v>
      </c>
      <c r="I30" s="45">
        <f>H30-A30</f>
        <v>0</v>
      </c>
    </row>
    <row r="31" spans="1:9" ht="12.75">
      <c r="A31" s="69">
        <v>1500</v>
      </c>
      <c r="B31" s="38" t="s">
        <v>128</v>
      </c>
      <c r="H31" s="61">
        <v>0</v>
      </c>
      <c r="I31" s="47">
        <f>H31-A31</f>
        <v>-1500</v>
      </c>
    </row>
    <row r="32" spans="1:9" ht="12.75">
      <c r="A32" s="69">
        <v>100</v>
      </c>
      <c r="B32" s="38" t="s">
        <v>103</v>
      </c>
      <c r="H32" s="61">
        <v>0</v>
      </c>
      <c r="I32" s="45"/>
    </row>
    <row r="33" spans="1:9" ht="12.75">
      <c r="A33" s="69">
        <v>180</v>
      </c>
      <c r="B33" s="38" t="s">
        <v>100</v>
      </c>
      <c r="H33" s="94">
        <f>A33</f>
        <v>180</v>
      </c>
      <c r="I33" s="45">
        <f aca="true" t="shared" si="1" ref="I33:I43">H33-A33</f>
        <v>0</v>
      </c>
    </row>
    <row r="34" spans="1:9" ht="12.75">
      <c r="A34" s="69">
        <v>80</v>
      </c>
      <c r="B34" s="38" t="s">
        <v>101</v>
      </c>
      <c r="H34" s="94">
        <f>A34</f>
        <v>80</v>
      </c>
      <c r="I34" s="45">
        <f t="shared" si="1"/>
        <v>0</v>
      </c>
    </row>
    <row r="35" spans="1:9" ht="12.75">
      <c r="A35" s="51">
        <v>2</v>
      </c>
      <c r="B35" s="38" t="s">
        <v>57</v>
      </c>
      <c r="H35" s="64">
        <f>A35</f>
        <v>2</v>
      </c>
      <c r="I35" s="45">
        <f t="shared" si="1"/>
        <v>0</v>
      </c>
    </row>
    <row r="36" spans="1:9" ht="12.75">
      <c r="A36" s="52">
        <v>6</v>
      </c>
      <c r="B36" s="38" t="s">
        <v>72</v>
      </c>
      <c r="H36" s="95">
        <v>0</v>
      </c>
      <c r="I36" s="45">
        <f t="shared" si="1"/>
        <v>-6</v>
      </c>
    </row>
    <row r="37" spans="1:9" ht="12.75">
      <c r="A37" s="53">
        <v>0.06</v>
      </c>
      <c r="B37" s="38" t="s">
        <v>64</v>
      </c>
      <c r="H37" s="96">
        <v>0</v>
      </c>
      <c r="I37" s="14">
        <f t="shared" si="1"/>
        <v>-0.06</v>
      </c>
    </row>
    <row r="38" spans="1:9" ht="12.75">
      <c r="A38" s="56">
        <v>5</v>
      </c>
      <c r="B38" s="38" t="s">
        <v>66</v>
      </c>
      <c r="H38" s="93">
        <f>A38</f>
        <v>5</v>
      </c>
      <c r="I38" s="45">
        <f t="shared" si="1"/>
        <v>0</v>
      </c>
    </row>
    <row r="39" spans="1:9" ht="12.75">
      <c r="A39" s="57">
        <v>0.05</v>
      </c>
      <c r="B39" s="38" t="s">
        <v>68</v>
      </c>
      <c r="H39" s="97">
        <f>A39</f>
        <v>0.05</v>
      </c>
      <c r="I39" s="44">
        <f t="shared" si="1"/>
        <v>0</v>
      </c>
    </row>
    <row r="40" spans="1:9" ht="12.75">
      <c r="A40" s="52">
        <v>2</v>
      </c>
      <c r="B40" s="38" t="s">
        <v>74</v>
      </c>
      <c r="H40" s="98">
        <v>0</v>
      </c>
      <c r="I40" s="45">
        <f t="shared" si="1"/>
        <v>-2</v>
      </c>
    </row>
    <row r="41" spans="1:9" ht="12.75">
      <c r="A41" s="54">
        <v>10</v>
      </c>
      <c r="B41" s="38" t="s">
        <v>113</v>
      </c>
      <c r="H41" s="87">
        <f>A41</f>
        <v>10</v>
      </c>
      <c r="I41" s="39">
        <f t="shared" si="1"/>
        <v>0</v>
      </c>
    </row>
    <row r="42" spans="1:9" ht="12.75">
      <c r="A42" s="54">
        <v>0.5</v>
      </c>
      <c r="B42" s="38" t="s">
        <v>69</v>
      </c>
      <c r="H42" s="99">
        <f>A42</f>
        <v>0.5</v>
      </c>
      <c r="I42" s="44">
        <f t="shared" si="1"/>
        <v>0</v>
      </c>
    </row>
    <row r="43" spans="1:9" ht="12.75">
      <c r="A43" s="80">
        <v>1000</v>
      </c>
      <c r="B43" s="38" t="s">
        <v>115</v>
      </c>
      <c r="H43" s="100">
        <v>0</v>
      </c>
      <c r="I43" s="47">
        <f t="shared" si="1"/>
        <v>-1000</v>
      </c>
    </row>
    <row r="44" spans="1:9" ht="12.75">
      <c r="A44" s="113">
        <v>7</v>
      </c>
      <c r="B44" s="38" t="s">
        <v>141</v>
      </c>
      <c r="H44" s="100">
        <v>0</v>
      </c>
      <c r="I44" s="47"/>
    </row>
    <row r="45" spans="1:9" ht="12.75">
      <c r="A45" s="112">
        <v>0.8</v>
      </c>
      <c r="B45" s="38" t="s">
        <v>142</v>
      </c>
      <c r="H45" s="100">
        <v>0</v>
      </c>
      <c r="I45" s="47"/>
    </row>
    <row r="46" spans="1:9" ht="12.75">
      <c r="A46" s="112">
        <v>0.08</v>
      </c>
      <c r="B46" s="38" t="s">
        <v>143</v>
      </c>
      <c r="H46" s="100">
        <v>0</v>
      </c>
      <c r="I46" s="47"/>
    </row>
    <row r="47" spans="1:9" ht="12.75">
      <c r="A47" s="113">
        <v>7</v>
      </c>
      <c r="B47" s="38" t="s">
        <v>144</v>
      </c>
      <c r="H47" s="100">
        <v>0</v>
      </c>
      <c r="I47" s="47"/>
    </row>
    <row r="48" spans="1:9" ht="12.75">
      <c r="A48" s="112">
        <v>0.005</v>
      </c>
      <c r="B48" s="38" t="s">
        <v>145</v>
      </c>
      <c r="H48" s="100">
        <v>0</v>
      </c>
      <c r="I48" s="47"/>
    </row>
    <row r="49" spans="1:9" ht="12.75">
      <c r="A49" s="112">
        <v>0.01</v>
      </c>
      <c r="B49" s="38" t="s">
        <v>146</v>
      </c>
      <c r="H49" s="100">
        <v>0</v>
      </c>
      <c r="I49" s="47"/>
    </row>
    <row r="50" spans="1:9" ht="12.75">
      <c r="A50" s="81"/>
      <c r="B50" s="40" t="s">
        <v>114</v>
      </c>
      <c r="H50" s="87"/>
      <c r="I50" s="39"/>
    </row>
    <row r="51" spans="1:9" ht="12.75">
      <c r="A51" s="58">
        <v>15</v>
      </c>
      <c r="B51" s="38" t="s">
        <v>79</v>
      </c>
      <c r="H51" s="100">
        <v>0</v>
      </c>
      <c r="I51" s="45">
        <f aca="true" t="shared" si="2" ref="I51:I60">H51-A51</f>
        <v>-15</v>
      </c>
    </row>
    <row r="52" spans="1:9" ht="12.75">
      <c r="A52" s="58">
        <v>30</v>
      </c>
      <c r="B52" s="38" t="s">
        <v>84</v>
      </c>
      <c r="H52" s="100">
        <v>0</v>
      </c>
      <c r="I52" s="45">
        <f t="shared" si="2"/>
        <v>-30</v>
      </c>
    </row>
    <row r="53" spans="1:9" ht="12.75">
      <c r="A53" s="59">
        <v>10</v>
      </c>
      <c r="B53" s="1" t="s">
        <v>75</v>
      </c>
      <c r="H53" s="100">
        <v>0</v>
      </c>
      <c r="I53" s="45">
        <f t="shared" si="2"/>
        <v>-10</v>
      </c>
    </row>
    <row r="54" spans="1:9" ht="12.75">
      <c r="A54" s="59">
        <v>10</v>
      </c>
      <c r="B54" s="1" t="s">
        <v>76</v>
      </c>
      <c r="H54" s="100">
        <v>0</v>
      </c>
      <c r="I54" s="45">
        <f t="shared" si="2"/>
        <v>-10</v>
      </c>
    </row>
    <row r="55" spans="1:9" ht="12.75">
      <c r="A55" s="59">
        <v>20</v>
      </c>
      <c r="B55" s="1" t="s">
        <v>77</v>
      </c>
      <c r="H55" s="100">
        <v>0</v>
      </c>
      <c r="I55" s="45">
        <f t="shared" si="2"/>
        <v>-20</v>
      </c>
    </row>
    <row r="56" spans="1:9" ht="12.75">
      <c r="A56" s="59">
        <v>3.2</v>
      </c>
      <c r="B56" s="38" t="s">
        <v>152</v>
      </c>
      <c r="H56" s="100">
        <v>0</v>
      </c>
      <c r="I56" s="45">
        <f t="shared" si="2"/>
        <v>-3.2</v>
      </c>
    </row>
    <row r="57" spans="1:9" ht="12.75">
      <c r="A57" s="59">
        <v>2</v>
      </c>
      <c r="B57" s="38" t="s">
        <v>153</v>
      </c>
      <c r="H57" s="100"/>
      <c r="I57" s="45"/>
    </row>
    <row r="58" spans="1:9" ht="12.75">
      <c r="A58" s="60">
        <v>10</v>
      </c>
      <c r="B58" s="38" t="s">
        <v>78</v>
      </c>
      <c r="H58" s="100">
        <v>0</v>
      </c>
      <c r="I58" s="44">
        <f t="shared" si="2"/>
        <v>-10</v>
      </c>
    </row>
    <row r="59" spans="1:9" ht="12.75">
      <c r="A59" s="82">
        <v>1208</v>
      </c>
      <c r="B59" s="38" t="s">
        <v>50</v>
      </c>
      <c r="H59" s="80">
        <v>159</v>
      </c>
      <c r="I59" s="47">
        <f t="shared" si="2"/>
        <v>-1049</v>
      </c>
    </row>
    <row r="60" spans="1:9" ht="12.75">
      <c r="A60" s="80">
        <v>724</v>
      </c>
      <c r="B60" s="38" t="s">
        <v>51</v>
      </c>
      <c r="H60" s="80">
        <v>724</v>
      </c>
      <c r="I60" s="39">
        <f t="shared" si="2"/>
        <v>0</v>
      </c>
    </row>
    <row r="61" spans="1:9" ht="12.75">
      <c r="A61" s="89"/>
      <c r="B61" s="90"/>
      <c r="C61" s="91"/>
      <c r="D61" s="91"/>
      <c r="E61" s="91"/>
      <c r="F61" s="91"/>
      <c r="G61" s="91"/>
      <c r="H61" s="89"/>
      <c r="I61" s="92"/>
    </row>
    <row r="62" spans="1:9" ht="12.75">
      <c r="A62" s="122" t="s">
        <v>117</v>
      </c>
      <c r="B62" s="123"/>
      <c r="C62" s="123"/>
      <c r="D62" s="123"/>
      <c r="E62" s="123"/>
      <c r="F62" s="123"/>
      <c r="G62" s="123"/>
      <c r="H62" s="123"/>
      <c r="I62" s="123"/>
    </row>
    <row r="63" spans="1:9" ht="12.75">
      <c r="A63" s="32"/>
      <c r="B63" s="85"/>
      <c r="C63" s="85"/>
      <c r="D63" s="85"/>
      <c r="E63" s="85"/>
      <c r="F63" s="85"/>
      <c r="G63" s="85"/>
      <c r="H63" s="85"/>
      <c r="I63" s="4" t="s">
        <v>0</v>
      </c>
    </row>
    <row r="64" spans="1:9" ht="12.75">
      <c r="A64" s="5" t="s">
        <v>86</v>
      </c>
      <c r="B64" s="40" t="s">
        <v>87</v>
      </c>
      <c r="H64" s="4" t="s">
        <v>1</v>
      </c>
      <c r="I64" s="4" t="s">
        <v>125</v>
      </c>
    </row>
    <row r="65" spans="1:9" ht="12.75">
      <c r="A65" s="21">
        <v>3</v>
      </c>
      <c r="B65" s="1" t="s">
        <v>5</v>
      </c>
      <c r="H65" s="21">
        <v>3</v>
      </c>
      <c r="I65" s="45">
        <f aca="true" t="shared" si="3" ref="I65:I73">H65-A65</f>
        <v>0</v>
      </c>
    </row>
    <row r="66" spans="1:9" ht="12.75">
      <c r="A66" s="21">
        <v>15</v>
      </c>
      <c r="B66" s="1" t="s">
        <v>6</v>
      </c>
      <c r="H66" s="21">
        <v>15</v>
      </c>
      <c r="I66" s="45">
        <f t="shared" si="3"/>
        <v>0</v>
      </c>
    </row>
    <row r="67" spans="1:9" ht="12.75">
      <c r="A67" s="21">
        <v>50</v>
      </c>
      <c r="B67" s="1" t="s">
        <v>7</v>
      </c>
      <c r="H67" s="21">
        <v>47</v>
      </c>
      <c r="I67" s="45">
        <f t="shared" si="3"/>
        <v>-3</v>
      </c>
    </row>
    <row r="68" spans="1:9" ht="12.75">
      <c r="A68" s="21">
        <v>87</v>
      </c>
      <c r="B68" s="1" t="s">
        <v>8</v>
      </c>
      <c r="H68" s="21">
        <v>82</v>
      </c>
      <c r="I68" s="45">
        <f t="shared" si="3"/>
        <v>-5</v>
      </c>
    </row>
    <row r="69" spans="1:9" ht="12.75">
      <c r="A69" s="21">
        <v>149</v>
      </c>
      <c r="B69" s="1" t="s">
        <v>9</v>
      </c>
      <c r="H69" s="21">
        <v>144</v>
      </c>
      <c r="I69" s="45">
        <f t="shared" si="3"/>
        <v>-5</v>
      </c>
    </row>
    <row r="70" spans="1:9" ht="12.75">
      <c r="A70" s="21">
        <v>190</v>
      </c>
      <c r="B70" s="1" t="s">
        <v>10</v>
      </c>
      <c r="H70" s="21">
        <v>185</v>
      </c>
      <c r="I70" s="45">
        <f t="shared" si="3"/>
        <v>-5</v>
      </c>
    </row>
    <row r="71" spans="1:9" ht="12.75">
      <c r="A71" s="21">
        <v>228</v>
      </c>
      <c r="B71" s="1" t="s">
        <v>11</v>
      </c>
      <c r="H71" s="21">
        <v>216</v>
      </c>
      <c r="I71" s="45">
        <f t="shared" si="3"/>
        <v>-12</v>
      </c>
    </row>
    <row r="72" spans="1:9" ht="12.75">
      <c r="A72" s="61">
        <f>SUM(A65:A71)</f>
        <v>722</v>
      </c>
      <c r="B72" s="49" t="s">
        <v>122</v>
      </c>
      <c r="C72" s="48"/>
      <c r="D72" s="48"/>
      <c r="E72" s="48"/>
      <c r="F72" s="48"/>
      <c r="G72" s="48"/>
      <c r="H72" s="61">
        <f>SUM(H65:H71)</f>
        <v>692</v>
      </c>
      <c r="I72" s="45">
        <f t="shared" si="3"/>
        <v>-30</v>
      </c>
    </row>
    <row r="73" spans="1:9" ht="12.75">
      <c r="A73" s="62">
        <f>A72/(A91-A15)</f>
        <v>3.0083333333333333</v>
      </c>
      <c r="B73" s="49" t="s">
        <v>171</v>
      </c>
      <c r="C73" s="48"/>
      <c r="D73" s="48"/>
      <c r="E73" s="48"/>
      <c r="F73" s="48"/>
      <c r="G73" s="48"/>
      <c r="H73" s="62">
        <f>H72/(H91-H15)</f>
        <v>2.8833333333333333</v>
      </c>
      <c r="I73" s="14">
        <f t="shared" si="3"/>
        <v>-0.125</v>
      </c>
    </row>
    <row r="74" spans="1:9" ht="12.75">
      <c r="A74" s="24"/>
      <c r="B74" s="40" t="s">
        <v>12</v>
      </c>
      <c r="H74" s="7"/>
      <c r="I74" s="45"/>
    </row>
    <row r="75" spans="1:9" ht="12.75">
      <c r="A75" s="25">
        <v>0.12</v>
      </c>
      <c r="B75" s="1" t="s">
        <v>13</v>
      </c>
      <c r="H75" s="25">
        <v>0.12</v>
      </c>
      <c r="I75" s="118">
        <f aca="true" t="shared" si="4" ref="I75:I85">H75-A75</f>
        <v>0</v>
      </c>
    </row>
    <row r="76" spans="1:9" ht="12.75">
      <c r="A76" s="25">
        <v>0.117</v>
      </c>
      <c r="B76" s="1" t="s">
        <v>14</v>
      </c>
      <c r="H76" s="25">
        <v>0.117</v>
      </c>
      <c r="I76" s="118">
        <f t="shared" si="4"/>
        <v>0</v>
      </c>
    </row>
    <row r="77" spans="1:9" ht="12.75">
      <c r="A77" s="25">
        <v>0.076</v>
      </c>
      <c r="B77" s="1" t="s">
        <v>15</v>
      </c>
      <c r="H77" s="25">
        <v>0.076</v>
      </c>
      <c r="I77" s="118">
        <f t="shared" si="4"/>
        <v>0</v>
      </c>
    </row>
    <row r="78" spans="1:9" ht="12.75">
      <c r="A78" s="25">
        <v>0.064</v>
      </c>
      <c r="B78" s="1" t="s">
        <v>16</v>
      </c>
      <c r="H78" s="25">
        <v>0.064</v>
      </c>
      <c r="I78" s="118">
        <f t="shared" si="4"/>
        <v>0</v>
      </c>
    </row>
    <row r="79" spans="1:9" ht="12.75">
      <c r="A79" s="25">
        <v>0.056</v>
      </c>
      <c r="B79" s="1" t="s">
        <v>17</v>
      </c>
      <c r="H79" s="25">
        <v>0.056</v>
      </c>
      <c r="I79" s="118">
        <f t="shared" si="4"/>
        <v>0</v>
      </c>
    </row>
    <row r="80" spans="1:9" ht="12.75">
      <c r="A80" s="25">
        <v>0.054</v>
      </c>
      <c r="B80" s="1" t="s">
        <v>18</v>
      </c>
      <c r="H80" s="25">
        <v>0.054</v>
      </c>
      <c r="I80" s="118">
        <f t="shared" si="4"/>
        <v>0</v>
      </c>
    </row>
    <row r="81" spans="1:9" ht="12.75">
      <c r="A81" s="25">
        <v>0.051</v>
      </c>
      <c r="B81" s="1" t="s">
        <v>19</v>
      </c>
      <c r="H81" s="25">
        <v>0.051</v>
      </c>
      <c r="I81" s="118">
        <f t="shared" si="4"/>
        <v>0</v>
      </c>
    </row>
    <row r="82" spans="1:9" ht="12.75">
      <c r="A82" s="24"/>
      <c r="B82" s="40" t="s">
        <v>88</v>
      </c>
      <c r="H82" s="24"/>
      <c r="I82" s="45"/>
    </row>
    <row r="83" spans="1:9" ht="12.75">
      <c r="A83" s="110">
        <v>0.3876</v>
      </c>
      <c r="B83" s="38" t="s">
        <v>135</v>
      </c>
      <c r="H83" s="110">
        <v>0.3876</v>
      </c>
      <c r="I83" s="111">
        <f t="shared" si="4"/>
        <v>0</v>
      </c>
    </row>
    <row r="84" spans="1:9" ht="12.75">
      <c r="A84" s="110">
        <v>0</v>
      </c>
      <c r="B84" s="38" t="s">
        <v>136</v>
      </c>
      <c r="H84" s="23">
        <v>0.0102</v>
      </c>
      <c r="I84" s="111">
        <f t="shared" si="4"/>
        <v>0.0102</v>
      </c>
    </row>
    <row r="85" spans="1:9" ht="12.75">
      <c r="A85" s="26">
        <v>4</v>
      </c>
      <c r="B85" s="38" t="s">
        <v>137</v>
      </c>
      <c r="H85" s="26">
        <v>7.21</v>
      </c>
      <c r="I85" s="44">
        <f t="shared" si="4"/>
        <v>3.21</v>
      </c>
    </row>
    <row r="86" spans="1:9" ht="12.75">
      <c r="A86" s="5" t="s">
        <v>86</v>
      </c>
      <c r="B86" s="86" t="s">
        <v>121</v>
      </c>
      <c r="F86" s="3"/>
      <c r="H86" s="4" t="s">
        <v>1</v>
      </c>
      <c r="I86" s="4" t="s">
        <v>125</v>
      </c>
    </row>
    <row r="87" spans="1:9" ht="12.75">
      <c r="A87" s="87">
        <v>0</v>
      </c>
      <c r="B87" s="38" t="s">
        <v>52</v>
      </c>
      <c r="H87" s="54">
        <v>6.5</v>
      </c>
      <c r="I87" s="44">
        <f>H87-A87</f>
        <v>6.5</v>
      </c>
    </row>
    <row r="88" spans="1:9" ht="12.75">
      <c r="A88" s="61">
        <v>0</v>
      </c>
      <c r="B88" s="38" t="s">
        <v>53</v>
      </c>
      <c r="H88" s="13">
        <v>2</v>
      </c>
      <c r="I88" s="45">
        <f>H88-A88</f>
        <v>2</v>
      </c>
    </row>
    <row r="89" spans="1:9" ht="12.75">
      <c r="A89" s="61">
        <v>0</v>
      </c>
      <c r="B89" s="38" t="s">
        <v>54</v>
      </c>
      <c r="H89" s="20">
        <v>40</v>
      </c>
      <c r="I89" s="44">
        <f>H89-A89</f>
        <v>40</v>
      </c>
    </row>
    <row r="90" spans="1:9" ht="12.75">
      <c r="A90" s="61"/>
      <c r="B90" s="40" t="s">
        <v>123</v>
      </c>
      <c r="H90" s="88"/>
      <c r="I90" s="14"/>
    </row>
    <row r="91" spans="1:9" ht="12.75">
      <c r="A91" s="21">
        <v>250</v>
      </c>
      <c r="B91" s="1" t="s">
        <v>3</v>
      </c>
      <c r="H91" s="21">
        <v>250</v>
      </c>
      <c r="I91" s="45">
        <f>H91-A91</f>
        <v>0</v>
      </c>
    </row>
    <row r="92" spans="1:9" ht="12.75">
      <c r="A92" s="23">
        <v>0.28</v>
      </c>
      <c r="B92" s="1" t="s">
        <v>4</v>
      </c>
      <c r="H92" s="23">
        <v>0.28</v>
      </c>
      <c r="I92" s="44">
        <f>H92-A92</f>
        <v>0</v>
      </c>
    </row>
    <row r="93" spans="1:9" ht="12.75">
      <c r="A93" s="108"/>
      <c r="B93" s="40" t="s">
        <v>138</v>
      </c>
      <c r="H93" s="108"/>
      <c r="I93" s="44"/>
    </row>
    <row r="94" spans="1:9" ht="12.75">
      <c r="A94" s="23">
        <v>0.0045</v>
      </c>
      <c r="B94" s="38" t="s">
        <v>139</v>
      </c>
      <c r="H94" s="109">
        <f>A94</f>
        <v>0.0045</v>
      </c>
      <c r="I94" s="45">
        <f>H94-A94</f>
        <v>0</v>
      </c>
    </row>
    <row r="95" spans="1:9" ht="12.75">
      <c r="A95" s="23">
        <v>0.0021</v>
      </c>
      <c r="B95" s="38" t="s">
        <v>140</v>
      </c>
      <c r="H95" s="109">
        <f>A95</f>
        <v>0.0021</v>
      </c>
      <c r="I95" s="45">
        <f>H95-A95</f>
        <v>0</v>
      </c>
    </row>
    <row r="96" spans="1:9" ht="12.75">
      <c r="A96" s="27"/>
      <c r="B96" s="28"/>
      <c r="C96" s="28"/>
      <c r="D96" s="28"/>
      <c r="E96" s="28"/>
      <c r="F96" s="28"/>
      <c r="G96" s="28"/>
      <c r="H96" s="27"/>
      <c r="I96" s="27"/>
    </row>
    <row r="97" spans="1:9" ht="15.75">
      <c r="A97" s="120" t="s">
        <v>116</v>
      </c>
      <c r="B97" s="121"/>
      <c r="C97" s="121"/>
      <c r="D97" s="121"/>
      <c r="E97" s="121"/>
      <c r="F97" s="121"/>
      <c r="G97" s="121"/>
      <c r="H97" s="121"/>
      <c r="I97" s="121"/>
    </row>
    <row r="98" spans="1:9" ht="15.75">
      <c r="A98" s="83"/>
      <c r="B98" s="85" t="s">
        <v>120</v>
      </c>
      <c r="C98" s="84"/>
      <c r="D98" s="84"/>
      <c r="E98" s="84"/>
      <c r="F98" s="84"/>
      <c r="G98" s="84"/>
      <c r="H98" s="84"/>
      <c r="I98" s="4" t="s">
        <v>125</v>
      </c>
    </row>
    <row r="99" spans="1:9" ht="12.75">
      <c r="A99" s="103">
        <f>A18*A24*A27</f>
        <v>60</v>
      </c>
      <c r="B99" s="38" t="s">
        <v>95</v>
      </c>
      <c r="H99" s="16">
        <v>0</v>
      </c>
      <c r="I99" s="47">
        <f>H99-A99</f>
        <v>-60</v>
      </c>
    </row>
    <row r="100" spans="1:9" ht="12.75">
      <c r="A100" s="103">
        <f>A18*A23*A22*A27</f>
        <v>39</v>
      </c>
      <c r="B100" s="38" t="s">
        <v>96</v>
      </c>
      <c r="H100" s="16">
        <v>0</v>
      </c>
      <c r="I100" s="47">
        <f>H100-A100</f>
        <v>-39</v>
      </c>
    </row>
    <row r="101" spans="1:9" ht="12.75">
      <c r="A101" s="71">
        <v>240</v>
      </c>
      <c r="B101" s="38" t="s">
        <v>97</v>
      </c>
      <c r="H101" s="16">
        <v>0</v>
      </c>
      <c r="I101" s="47">
        <f>H101-A101</f>
        <v>-240</v>
      </c>
    </row>
    <row r="102" spans="1:9" ht="12.75">
      <c r="A102" s="103">
        <f>A18*A19*A21</f>
        <v>240</v>
      </c>
      <c r="B102" s="38" t="s">
        <v>98</v>
      </c>
      <c r="H102" s="16">
        <v>0</v>
      </c>
      <c r="I102" s="47">
        <f>H102-A102</f>
        <v>-240</v>
      </c>
    </row>
    <row r="103" spans="1:9" ht="12.75">
      <c r="A103" s="103">
        <f>A20*A21*A27</f>
        <v>175</v>
      </c>
      <c r="B103" s="38" t="s">
        <v>99</v>
      </c>
      <c r="H103" s="16">
        <v>0</v>
      </c>
      <c r="I103" s="47">
        <f>H103-A103</f>
        <v>-175</v>
      </c>
    </row>
    <row r="104" spans="1:9" ht="15.75">
      <c r="A104" s="104"/>
      <c r="B104" s="85" t="s">
        <v>118</v>
      </c>
      <c r="C104" s="84"/>
      <c r="D104" s="84"/>
      <c r="E104" s="84"/>
      <c r="F104" s="84"/>
      <c r="G104" s="84"/>
      <c r="H104" s="84"/>
      <c r="I104" s="84"/>
    </row>
    <row r="105" spans="1:9" ht="12.75">
      <c r="A105" s="64">
        <f>INT(A7/A8)+1</f>
        <v>24</v>
      </c>
      <c r="B105" s="38" t="s">
        <v>43</v>
      </c>
      <c r="H105" s="64">
        <f>INT(H7/H8)+1</f>
        <v>24</v>
      </c>
      <c r="I105" s="45">
        <f aca="true" t="shared" si="5" ref="I105:I120">H105-A105</f>
        <v>0</v>
      </c>
    </row>
    <row r="106" spans="1:9" ht="12.75">
      <c r="A106" s="64">
        <f>(A105*A35)</f>
        <v>48</v>
      </c>
      <c r="B106" s="38" t="s">
        <v>56</v>
      </c>
      <c r="H106" s="64">
        <f>H105*H35</f>
        <v>48</v>
      </c>
      <c r="I106" s="45">
        <f t="shared" si="5"/>
        <v>0</v>
      </c>
    </row>
    <row r="107" spans="1:9" ht="12.75">
      <c r="A107" s="64">
        <f>INT(A123*A105)</f>
        <v>250</v>
      </c>
      <c r="B107" s="38" t="s">
        <v>59</v>
      </c>
      <c r="H107" s="64">
        <f>INT(H123*H105)</f>
        <v>250</v>
      </c>
      <c r="I107" s="45">
        <f t="shared" si="5"/>
        <v>0</v>
      </c>
    </row>
    <row r="108" spans="1:9" ht="12.75">
      <c r="A108" s="64">
        <f>A107*A35</f>
        <v>500</v>
      </c>
      <c r="B108" s="38" t="s">
        <v>61</v>
      </c>
      <c r="H108" s="64">
        <f>INT(H107*H35)</f>
        <v>500</v>
      </c>
      <c r="I108" s="45">
        <f t="shared" si="5"/>
        <v>0</v>
      </c>
    </row>
    <row r="109" spans="1:9" ht="12.75">
      <c r="A109" s="105">
        <f>A106/A52</f>
        <v>1.6</v>
      </c>
      <c r="B109" s="38" t="s">
        <v>85</v>
      </c>
      <c r="H109" s="2">
        <v>0</v>
      </c>
      <c r="I109" s="45">
        <f t="shared" si="5"/>
        <v>-1.6</v>
      </c>
    </row>
    <row r="110" spans="1:9" ht="12.75">
      <c r="A110" s="70">
        <f>(((A27*A31)-(A27*A32))/(A28*30.4))*A4</f>
        <v>2101.1513157894738</v>
      </c>
      <c r="B110" s="38" t="s">
        <v>71</v>
      </c>
      <c r="H110" s="16">
        <v>0</v>
      </c>
      <c r="I110" s="72">
        <f t="shared" si="5"/>
        <v>-2101.1513157894738</v>
      </c>
    </row>
    <row r="111" spans="1:9" ht="12.75">
      <c r="A111" s="71">
        <f>(((A29*A33)-(A29*A32))/(A30*30.4))*A4</f>
        <v>80.04385964912281</v>
      </c>
      <c r="B111" s="38" t="s">
        <v>65</v>
      </c>
      <c r="H111" s="42">
        <f>A111</f>
        <v>80.04385964912281</v>
      </c>
      <c r="I111" s="39">
        <f t="shared" si="5"/>
        <v>0</v>
      </c>
    </row>
    <row r="112" spans="1:9" ht="12.75">
      <c r="A112" s="70">
        <f>A4*A27*A36*A37</f>
        <v>262.8</v>
      </c>
      <c r="B112" s="38" t="s">
        <v>73</v>
      </c>
      <c r="H112" s="15">
        <v>0</v>
      </c>
      <c r="I112" s="47">
        <f t="shared" si="5"/>
        <v>-262.8</v>
      </c>
    </row>
    <row r="113" spans="1:9" ht="12.75">
      <c r="A113" s="70">
        <f>A4*A29*A38*A39</f>
        <v>91.25</v>
      </c>
      <c r="B113" s="38" t="s">
        <v>67</v>
      </c>
      <c r="H113" s="43">
        <f>A113</f>
        <v>91.25</v>
      </c>
      <c r="I113" s="39">
        <f t="shared" si="5"/>
        <v>0</v>
      </c>
    </row>
    <row r="114" spans="1:9" ht="12.75">
      <c r="A114" s="70">
        <f>A4*A29*A42</f>
        <v>182.5</v>
      </c>
      <c r="B114" s="38" t="s">
        <v>70</v>
      </c>
      <c r="H114" s="43">
        <f>A114</f>
        <v>182.5</v>
      </c>
      <c r="I114" s="39">
        <f t="shared" si="5"/>
        <v>0</v>
      </c>
    </row>
    <row r="115" spans="1:9" ht="12.75">
      <c r="A115" s="70">
        <f>((A4*A27*A40)/60)*A41</f>
        <v>243.33333333333331</v>
      </c>
      <c r="B115" s="38" t="s">
        <v>124</v>
      </c>
      <c r="H115" s="41">
        <v>0</v>
      </c>
      <c r="I115" s="47">
        <f t="shared" si="5"/>
        <v>-243.33333333333331</v>
      </c>
    </row>
    <row r="116" spans="1:9" ht="12.75">
      <c r="A116" s="114">
        <f>A43*A45</f>
        <v>800</v>
      </c>
      <c r="B116" s="38" t="s">
        <v>147</v>
      </c>
      <c r="H116" s="115">
        <v>0</v>
      </c>
      <c r="I116" s="44">
        <f t="shared" si="5"/>
        <v>-800</v>
      </c>
    </row>
    <row r="117" spans="1:9" ht="12.75">
      <c r="A117" s="114">
        <f>PMT(A46,A47,-(A116))</f>
        <v>153.65792114272836</v>
      </c>
      <c r="B117" s="38" t="s">
        <v>148</v>
      </c>
      <c r="H117" s="115">
        <v>0</v>
      </c>
      <c r="I117" s="44">
        <f t="shared" si="5"/>
        <v>-153.65792114272836</v>
      </c>
    </row>
    <row r="118" spans="1:9" ht="12.75">
      <c r="A118" s="114">
        <f>(A43-A116)/A44</f>
        <v>28.571428571428573</v>
      </c>
      <c r="B118" s="38" t="s">
        <v>149</v>
      </c>
      <c r="H118" s="115">
        <v>0</v>
      </c>
      <c r="I118" s="44">
        <f t="shared" si="5"/>
        <v>-28.571428571428573</v>
      </c>
    </row>
    <row r="119" spans="1:9" ht="12.75">
      <c r="A119" s="114">
        <f>(A59+A43)*(A48+A49)</f>
        <v>33.12</v>
      </c>
      <c r="B119" s="38" t="s">
        <v>150</v>
      </c>
      <c r="H119" s="115">
        <v>0</v>
      </c>
      <c r="I119" s="44">
        <f t="shared" si="5"/>
        <v>-33.12</v>
      </c>
    </row>
    <row r="120" spans="1:9" ht="12.75">
      <c r="A120" s="106">
        <f>((A117+A118+A119)/365)*A4</f>
        <v>215.34934971415692</v>
      </c>
      <c r="B120" s="38" t="s">
        <v>151</v>
      </c>
      <c r="H120" s="115">
        <v>0</v>
      </c>
      <c r="I120" s="44">
        <f t="shared" si="5"/>
        <v>-215.34934971415692</v>
      </c>
    </row>
    <row r="121" spans="1:9" ht="12.75">
      <c r="A121" s="124" t="s">
        <v>116</v>
      </c>
      <c r="B121" s="125"/>
      <c r="C121" s="125"/>
      <c r="D121" s="125"/>
      <c r="E121" s="125"/>
      <c r="F121" s="125"/>
      <c r="G121" s="125"/>
      <c r="H121" s="125"/>
      <c r="I121" s="125"/>
    </row>
    <row r="122" spans="1:9" ht="12.75">
      <c r="A122" s="116" t="str">
        <f>A135</f>
        <v>On-Farm AI</v>
      </c>
      <c r="B122" s="40" t="s">
        <v>119</v>
      </c>
      <c r="H122" s="31" t="str">
        <f>H135</f>
        <v>Commercial</v>
      </c>
      <c r="I122" s="31" t="str">
        <f>I135</f>
        <v>(CS-OnFS)</v>
      </c>
    </row>
    <row r="123" spans="1:9" ht="12.75">
      <c r="A123" s="93">
        <f>A4/A6</f>
        <v>10.428571428571429</v>
      </c>
      <c r="B123" s="38" t="s">
        <v>60</v>
      </c>
      <c r="H123" s="12">
        <f>A123</f>
        <v>10.428571428571429</v>
      </c>
      <c r="I123" s="45">
        <f aca="true" t="shared" si="6" ref="I123:I128">H123-A123</f>
        <v>0</v>
      </c>
    </row>
    <row r="124" spans="1:9" ht="12.75">
      <c r="A124" s="64">
        <f>(A107*A9)</f>
        <v>208.75</v>
      </c>
      <c r="B124" s="38" t="s">
        <v>44</v>
      </c>
      <c r="H124" s="9">
        <f>INT(H107*H9)</f>
        <v>217</v>
      </c>
      <c r="I124" s="45">
        <f t="shared" si="6"/>
        <v>8.25</v>
      </c>
    </row>
    <row r="125" spans="1:9" ht="12.75">
      <c r="A125" s="93">
        <f>(((1-A13)*(INT(A124/A123))*A11)+(((A13*(INT(A124/A123))*A12))))</f>
        <v>208.79999999999998</v>
      </c>
      <c r="B125" s="38" t="s">
        <v>164</v>
      </c>
      <c r="H125" s="93">
        <f>(((1-H13)*(INT(H124/H123))*H11)+(((H13*(INT(H124/H123))*H12))))</f>
        <v>218.92</v>
      </c>
      <c r="I125" s="45">
        <f t="shared" si="6"/>
        <v>10.120000000000005</v>
      </c>
    </row>
    <row r="126" spans="1:9" ht="12.75">
      <c r="A126" s="62">
        <f>A125/A7</f>
        <v>10.44</v>
      </c>
      <c r="B126" s="38" t="s">
        <v>93</v>
      </c>
      <c r="H126" s="62">
        <f>H125/H7</f>
        <v>10.946</v>
      </c>
      <c r="I126" s="14">
        <f t="shared" si="6"/>
        <v>0.5060000000000002</v>
      </c>
    </row>
    <row r="127" spans="1:9" ht="12.75">
      <c r="A127" s="64">
        <f>INT(A123*A125*A14)</f>
        <v>1981</v>
      </c>
      <c r="B127" s="38" t="s">
        <v>46</v>
      </c>
      <c r="H127" s="9">
        <f>INT(H123*H125*H14)</f>
        <v>2077</v>
      </c>
      <c r="I127" s="8">
        <f t="shared" si="6"/>
        <v>96</v>
      </c>
    </row>
    <row r="128" spans="1:9" ht="12.75">
      <c r="A128" s="64">
        <f>INT(A127*A16)</f>
        <v>1931</v>
      </c>
      <c r="B128" s="38" t="s">
        <v>94</v>
      </c>
      <c r="H128" s="9">
        <f>H127*H16</f>
        <v>2025.075</v>
      </c>
      <c r="I128" s="8">
        <f t="shared" si="6"/>
        <v>94.07500000000005</v>
      </c>
    </row>
    <row r="129" spans="1:2" ht="12.75">
      <c r="A129" s="100"/>
      <c r="B129" s="40" t="s">
        <v>114</v>
      </c>
    </row>
    <row r="130" spans="1:9" ht="12.75">
      <c r="A130" s="107">
        <f>A123*A56</f>
        <v>33.371428571428574</v>
      </c>
      <c r="B130" s="38" t="s">
        <v>80</v>
      </c>
      <c r="H130" s="2">
        <v>0</v>
      </c>
      <c r="I130" s="8">
        <f>H130-A130</f>
        <v>-33.371428571428574</v>
      </c>
    </row>
    <row r="131" spans="1:9" ht="12.75">
      <c r="A131" s="70">
        <f>((A130*A53)/60)*A58</f>
        <v>55.61904761904762</v>
      </c>
      <c r="B131" s="38" t="s">
        <v>81</v>
      </c>
      <c r="H131" s="2">
        <v>0</v>
      </c>
      <c r="I131" s="47">
        <f>H131-A131</f>
        <v>-55.61904761904762</v>
      </c>
    </row>
    <row r="132" spans="1:9" ht="12.75">
      <c r="A132" s="70">
        <f>((A130*A54)/60)*A58</f>
        <v>55.61904761904762</v>
      </c>
      <c r="B132" s="38" t="s">
        <v>82</v>
      </c>
      <c r="H132" s="2">
        <v>0</v>
      </c>
      <c r="I132" s="47">
        <f>H132-A132</f>
        <v>-55.61904761904762</v>
      </c>
    </row>
    <row r="133" spans="1:9" ht="12.75">
      <c r="A133" s="70">
        <f>((A123*A57*A55)/60)*A58</f>
        <v>69.52380952380952</v>
      </c>
      <c r="B133" s="38" t="s">
        <v>83</v>
      </c>
      <c r="H133" s="2">
        <v>0</v>
      </c>
      <c r="I133" s="47">
        <f>H133-A133</f>
        <v>-69.52380952380952</v>
      </c>
    </row>
    <row r="134" spans="1:9" ht="12.75">
      <c r="A134" s="29"/>
      <c r="B134" s="29"/>
      <c r="C134" s="29"/>
      <c r="D134" s="29"/>
      <c r="E134" s="29"/>
      <c r="F134" s="29"/>
      <c r="G134" s="29"/>
      <c r="H134" s="29"/>
      <c r="I134" s="27"/>
    </row>
    <row r="135" spans="1:9" ht="12.75">
      <c r="A135" s="4" t="str">
        <f>A3</f>
        <v>On-Farm AI</v>
      </c>
      <c r="B135" s="3" t="s">
        <v>20</v>
      </c>
      <c r="H135" s="4" t="str">
        <f>H3</f>
        <v>Commercial</v>
      </c>
      <c r="I135" s="4" t="s">
        <v>125</v>
      </c>
    </row>
    <row r="136" spans="1:9" ht="12.75">
      <c r="A136" s="15">
        <f>A59+A60+A99+A100+A101+A102+A103+A110+A111+A112+A113+A114+A115+A120+A131+A132+A133</f>
        <v>6043.189763247991</v>
      </c>
      <c r="B136" s="1" t="s">
        <v>21</v>
      </c>
      <c r="H136" s="15">
        <f>(H59+H60+H99+H100+H101+H102+H103+H110+H111+H112+H113+H114+H115+H131+H132+H133)</f>
        <v>1236.7938596491229</v>
      </c>
      <c r="I136" s="47">
        <f aca="true" t="shared" si="7" ref="I136:I185">H136-A136</f>
        <v>-4806.395903598868</v>
      </c>
    </row>
    <row r="137" spans="1:9" ht="12.75">
      <c r="A137" s="15">
        <f>(A108*A87)</f>
        <v>0</v>
      </c>
      <c r="B137" s="1" t="s">
        <v>22</v>
      </c>
      <c r="H137" s="15">
        <f>(H108*H87)</f>
        <v>3250</v>
      </c>
      <c r="I137" s="47">
        <f t="shared" si="7"/>
        <v>3250</v>
      </c>
    </row>
    <row r="138" spans="1:9" ht="12.75">
      <c r="A138" s="15">
        <f>(A123*A88*A89)</f>
        <v>0</v>
      </c>
      <c r="B138" s="1" t="s">
        <v>23</v>
      </c>
      <c r="H138" s="15">
        <f>(H123*H88*H89)</f>
        <v>834.2857142857143</v>
      </c>
      <c r="I138" s="47">
        <f t="shared" si="7"/>
        <v>834.2857142857143</v>
      </c>
    </row>
    <row r="139" spans="1:9" ht="12.75">
      <c r="A139" s="30">
        <f>SUM(A136:A138)</f>
        <v>6043.189763247991</v>
      </c>
      <c r="B139" s="1" t="s">
        <v>24</v>
      </c>
      <c r="H139" s="30">
        <f>SUM(H136:H138)</f>
        <v>5321.079573934838</v>
      </c>
      <c r="I139" s="47">
        <f t="shared" si="7"/>
        <v>-722.1101893131536</v>
      </c>
    </row>
    <row r="140" spans="1:9" ht="12.75">
      <c r="A140" s="15"/>
      <c r="B140" s="40" t="s">
        <v>134</v>
      </c>
      <c r="H140" s="15"/>
      <c r="I140" s="8"/>
    </row>
    <row r="141" spans="1:9" ht="12.75">
      <c r="A141" s="18">
        <f>A139/A108</f>
        <v>12.086379526495982</v>
      </c>
      <c r="B141" s="1" t="s">
        <v>25</v>
      </c>
      <c r="H141" s="18">
        <f>(H139/A108)</f>
        <v>10.642159147869675</v>
      </c>
      <c r="I141" s="44">
        <f t="shared" si="7"/>
        <v>-1.4442203786263068</v>
      </c>
    </row>
    <row r="142" spans="1:9" ht="12.75">
      <c r="A142" s="19">
        <f>A139/A107</f>
        <v>24.172759052991964</v>
      </c>
      <c r="B142" s="1" t="s">
        <v>26</v>
      </c>
      <c r="H142" s="19">
        <f>H139/A107</f>
        <v>21.28431829573935</v>
      </c>
      <c r="I142" s="44">
        <f t="shared" si="7"/>
        <v>-2.8884407572526136</v>
      </c>
    </row>
    <row r="143" spans="1:9" ht="12.75">
      <c r="A143" s="19">
        <f>A139/A127</f>
        <v>3.0505753474245285</v>
      </c>
      <c r="B143" s="1" t="s">
        <v>27</v>
      </c>
      <c r="H143" s="19">
        <f>H139/A127</f>
        <v>2.686057331617788</v>
      </c>
      <c r="I143" s="44">
        <f t="shared" si="7"/>
        <v>-0.3645180158067407</v>
      </c>
    </row>
    <row r="144" spans="1:9" ht="12.75">
      <c r="A144" s="19">
        <f>A136/A128</f>
        <v>3.129564869626096</v>
      </c>
      <c r="B144" s="1" t="s">
        <v>28</v>
      </c>
      <c r="H144" s="19">
        <f>H139/A128</f>
        <v>2.755608272363976</v>
      </c>
      <c r="I144" s="44">
        <f t="shared" si="7"/>
        <v>-0.37395659726211994</v>
      </c>
    </row>
    <row r="145" spans="1:9" ht="12.75">
      <c r="A145" s="17">
        <f>(($A$128*$A$91)*($A$83+$A$84))+($A$128*$A$85)-$A$139</f>
        <v>188794.710236752</v>
      </c>
      <c r="B145" s="38" t="s">
        <v>133</v>
      </c>
      <c r="H145" s="17">
        <f>(A91*A92*A128)-H139</f>
        <v>129848.92042606516</v>
      </c>
      <c r="I145" s="47">
        <f t="shared" si="7"/>
        <v>-58945.78981068684</v>
      </c>
    </row>
    <row r="146" spans="1:9" ht="12.75">
      <c r="A146" s="27"/>
      <c r="B146" s="28"/>
      <c r="C146" s="28"/>
      <c r="D146" s="28"/>
      <c r="E146" s="28"/>
      <c r="F146" s="28"/>
      <c r="G146" s="28"/>
      <c r="H146" s="27"/>
      <c r="I146" s="27"/>
    </row>
    <row r="147" spans="1:9" ht="12.75">
      <c r="A147" s="31" t="str">
        <f>A3</f>
        <v>On-Farm AI</v>
      </c>
      <c r="B147" s="3" t="s">
        <v>154</v>
      </c>
      <c r="H147" s="31" t="str">
        <f>H3</f>
        <v>Commercial</v>
      </c>
      <c r="I147" s="4" t="s">
        <v>125</v>
      </c>
    </row>
    <row r="148" spans="1:9" ht="12.75">
      <c r="A148" s="8">
        <f>A124</f>
        <v>208.75</v>
      </c>
      <c r="B148" s="1" t="s">
        <v>29</v>
      </c>
      <c r="H148" s="8">
        <f>H124</f>
        <v>217</v>
      </c>
      <c r="I148" s="8">
        <f t="shared" si="7"/>
        <v>8.25</v>
      </c>
    </row>
    <row r="149" spans="1:9" ht="12.75">
      <c r="A149" s="8">
        <f>A125*A14</f>
        <v>190.00799999999998</v>
      </c>
      <c r="B149" s="38" t="s">
        <v>129</v>
      </c>
      <c r="H149" s="8">
        <f>A149</f>
        <v>190.00799999999998</v>
      </c>
      <c r="I149" s="14">
        <f t="shared" si="7"/>
        <v>0</v>
      </c>
    </row>
    <row r="150" spans="1:9" ht="12.75">
      <c r="A150" s="8">
        <f>A127</f>
        <v>1981</v>
      </c>
      <c r="B150" s="1" t="s">
        <v>30</v>
      </c>
      <c r="H150" s="8">
        <f>H124*A126*A14</f>
        <v>2061.5868</v>
      </c>
      <c r="I150" s="8">
        <f t="shared" si="7"/>
        <v>80.58680000000004</v>
      </c>
    </row>
    <row r="151" spans="1:9" ht="12.75">
      <c r="A151" s="8">
        <f>A128</f>
        <v>1931</v>
      </c>
      <c r="B151" s="1" t="s">
        <v>31</v>
      </c>
      <c r="H151" s="8">
        <f>A16*H150</f>
        <v>2010.04713</v>
      </c>
      <c r="I151" s="8">
        <f t="shared" si="7"/>
        <v>79.04712999999992</v>
      </c>
    </row>
    <row r="152" spans="1:9" ht="12.75">
      <c r="A152" s="17">
        <f>(($A$128*$A$91)*($A$83+$A$84))+($A$128*$A$85)</f>
        <v>194837.9</v>
      </c>
      <c r="B152" s="1" t="s">
        <v>32</v>
      </c>
      <c r="H152" s="17">
        <f>((H151*A91)*(A83+A84))+(H151*A85)</f>
        <v>202813.75541699998</v>
      </c>
      <c r="I152" s="47">
        <f t="shared" si="7"/>
        <v>7975.855416999984</v>
      </c>
    </row>
    <row r="153" spans="1:9" ht="12.75">
      <c r="A153" s="17">
        <f>(A152-A139)</f>
        <v>188794.710236752</v>
      </c>
      <c r="B153" s="1" t="s">
        <v>33</v>
      </c>
      <c r="H153" s="17">
        <f>(H152-H139)</f>
        <v>197492.67584306514</v>
      </c>
      <c r="I153" s="47">
        <f t="shared" si="7"/>
        <v>8697.96560631314</v>
      </c>
    </row>
    <row r="154" spans="1:9" ht="12.75">
      <c r="A154" s="27"/>
      <c r="B154" s="28"/>
      <c r="C154" s="28"/>
      <c r="D154" s="28"/>
      <c r="E154" s="28"/>
      <c r="F154" s="28"/>
      <c r="G154" s="28"/>
      <c r="H154" s="27"/>
      <c r="I154" s="27"/>
    </row>
    <row r="155" spans="1:9" ht="12.75">
      <c r="A155" s="31" t="str">
        <f>A3</f>
        <v>On-Farm AI</v>
      </c>
      <c r="B155" s="3" t="s">
        <v>155</v>
      </c>
      <c r="H155" s="31" t="str">
        <f>H3</f>
        <v>Commercial</v>
      </c>
      <c r="I155" s="4" t="s">
        <v>125</v>
      </c>
    </row>
    <row r="156" spans="1:9" ht="12.75">
      <c r="A156" s="8">
        <f>A124</f>
        <v>208.75</v>
      </c>
      <c r="B156" s="1" t="s">
        <v>29</v>
      </c>
      <c r="H156" s="8">
        <f>A148</f>
        <v>208.75</v>
      </c>
      <c r="I156" s="8">
        <f t="shared" si="7"/>
        <v>0</v>
      </c>
    </row>
    <row r="157" spans="1:9" ht="12.75">
      <c r="A157" s="14">
        <f>A126</f>
        <v>10.44</v>
      </c>
      <c r="B157" s="38" t="s">
        <v>165</v>
      </c>
      <c r="H157" s="14">
        <f>H126</f>
        <v>10.946</v>
      </c>
      <c r="I157" s="14">
        <f t="shared" si="7"/>
        <v>0.5060000000000002</v>
      </c>
    </row>
    <row r="158" spans="1:9" ht="12.75">
      <c r="A158" s="45">
        <f>A125</f>
        <v>208.79999999999998</v>
      </c>
      <c r="B158" s="38" t="s">
        <v>166</v>
      </c>
      <c r="H158" s="45">
        <f>H125</f>
        <v>218.92</v>
      </c>
      <c r="I158" s="14">
        <f t="shared" si="7"/>
        <v>10.120000000000005</v>
      </c>
    </row>
    <row r="159" spans="1:9" ht="12.75">
      <c r="A159" s="14">
        <f>(A158*A14)/A7</f>
        <v>9.500399999999999</v>
      </c>
      <c r="B159" s="38" t="s">
        <v>163</v>
      </c>
      <c r="H159" s="14">
        <f>(H158*H14)/H7</f>
        <v>9.96086</v>
      </c>
      <c r="I159" s="14">
        <f t="shared" si="7"/>
        <v>0.4604600000000012</v>
      </c>
    </row>
    <row r="160" spans="1:9" ht="12.75">
      <c r="A160" s="45">
        <f>A127/A123</f>
        <v>189.95890410958904</v>
      </c>
      <c r="B160" s="38" t="s">
        <v>167</v>
      </c>
      <c r="H160" s="45">
        <f>(H156*H126*A14)/A123</f>
        <v>199.38776267123288</v>
      </c>
      <c r="I160" s="45">
        <f>H160-A160</f>
        <v>9.428858561643835</v>
      </c>
    </row>
    <row r="161" spans="1:9" ht="12.75">
      <c r="A161" s="8">
        <f>A127</f>
        <v>1981</v>
      </c>
      <c r="B161" s="1" t="s">
        <v>30</v>
      </c>
      <c r="H161" s="8">
        <f>H156*H126*A14</f>
        <v>2079.329525</v>
      </c>
      <c r="I161" s="8">
        <f t="shared" si="7"/>
        <v>98.3295250000001</v>
      </c>
    </row>
    <row r="162" spans="1:9" ht="12.75">
      <c r="A162" s="8">
        <f>A128</f>
        <v>1931</v>
      </c>
      <c r="B162" s="1" t="s">
        <v>31</v>
      </c>
      <c r="H162" s="8">
        <f>H16*H161</f>
        <v>2027.346286875</v>
      </c>
      <c r="I162" s="8">
        <f t="shared" si="7"/>
        <v>96.34628687500003</v>
      </c>
    </row>
    <row r="163" spans="1:9" ht="12.75">
      <c r="A163" s="17">
        <f>A152</f>
        <v>194837.9</v>
      </c>
      <c r="B163" s="1" t="s">
        <v>32</v>
      </c>
      <c r="H163" s="17">
        <f>((H162*$A$91)*($A$83+$A$84))+(H162*$A$85)</f>
        <v>204559.2403456875</v>
      </c>
      <c r="I163" s="47">
        <f t="shared" si="7"/>
        <v>9721.340345687495</v>
      </c>
    </row>
    <row r="164" spans="1:9" ht="12.75">
      <c r="A164" s="17">
        <f>(A163-A139)</f>
        <v>188794.710236752</v>
      </c>
      <c r="B164" s="1" t="s">
        <v>33</v>
      </c>
      <c r="H164" s="17">
        <f>(H163-H139)</f>
        <v>199238.16077175265</v>
      </c>
      <c r="I164" s="47">
        <f t="shared" si="7"/>
        <v>10443.450535000651</v>
      </c>
    </row>
    <row r="165" spans="1:9" ht="12.75">
      <c r="A165" s="27"/>
      <c r="B165" s="28"/>
      <c r="C165" s="28"/>
      <c r="D165" s="28"/>
      <c r="E165" s="28"/>
      <c r="F165" s="28"/>
      <c r="G165" s="28"/>
      <c r="H165" s="27"/>
      <c r="I165" s="27"/>
    </row>
    <row r="166" spans="1:9" ht="12.75">
      <c r="A166" s="32" t="str">
        <f>A3</f>
        <v>On-Farm AI</v>
      </c>
      <c r="B166" s="33" t="s">
        <v>34</v>
      </c>
      <c r="C166" s="34"/>
      <c r="D166" s="34"/>
      <c r="E166" s="35"/>
      <c r="F166" s="35"/>
      <c r="G166" s="35"/>
      <c r="H166" s="32" t="str">
        <f>H3</f>
        <v>Commercial</v>
      </c>
      <c r="I166" s="4" t="s">
        <v>125</v>
      </c>
    </row>
    <row r="167" spans="1:9" ht="12.75">
      <c r="A167" s="9">
        <f>A124</f>
        <v>208.75</v>
      </c>
      <c r="B167" s="1" t="s">
        <v>29</v>
      </c>
      <c r="C167" s="34"/>
      <c r="D167" s="34"/>
      <c r="E167" s="35"/>
      <c r="F167" s="35"/>
      <c r="G167" s="35"/>
      <c r="H167" s="9">
        <f>H148</f>
        <v>217</v>
      </c>
      <c r="I167" s="8">
        <f t="shared" si="7"/>
        <v>8.25</v>
      </c>
    </row>
    <row r="168" spans="1:9" ht="12.75">
      <c r="A168" s="9">
        <f>A125*A14</f>
        <v>190.00799999999998</v>
      </c>
      <c r="B168" s="38" t="s">
        <v>130</v>
      </c>
      <c r="C168" s="34"/>
      <c r="D168" s="34"/>
      <c r="E168" s="35"/>
      <c r="F168" s="35"/>
      <c r="G168" s="35"/>
      <c r="H168" s="9">
        <f>H160</f>
        <v>199.38776267123288</v>
      </c>
      <c r="I168" s="14">
        <f t="shared" si="7"/>
        <v>9.379762671232896</v>
      </c>
    </row>
    <row r="169" spans="1:9" ht="12.75">
      <c r="A169" s="9">
        <f>A127</f>
        <v>1981</v>
      </c>
      <c r="B169" s="1" t="s">
        <v>30</v>
      </c>
      <c r="C169" s="34"/>
      <c r="D169" s="34"/>
      <c r="E169" s="35"/>
      <c r="F169" s="35"/>
      <c r="G169" s="35"/>
      <c r="H169" s="9">
        <f>(H168/H7)*H167</f>
        <v>2163.3572249828767</v>
      </c>
      <c r="I169" s="8">
        <f t="shared" si="7"/>
        <v>182.3572249828767</v>
      </c>
    </row>
    <row r="170" spans="1:9" ht="12.75">
      <c r="A170" s="9">
        <f>A128</f>
        <v>1931</v>
      </c>
      <c r="B170" s="1" t="s">
        <v>31</v>
      </c>
      <c r="C170" s="34"/>
      <c r="D170" s="34"/>
      <c r="E170" s="35"/>
      <c r="F170" s="35"/>
      <c r="G170" s="35"/>
      <c r="H170" s="9">
        <f>H16*H169</f>
        <v>2109.2732943583046</v>
      </c>
      <c r="I170" s="8">
        <f t="shared" si="7"/>
        <v>178.2732943583046</v>
      </c>
    </row>
    <row r="171" spans="1:9" ht="12.75">
      <c r="A171" s="17">
        <f>(($A$128*$A$91)*($A$83+$A$84))+($A$128*$A$85)</f>
        <v>194837.9</v>
      </c>
      <c r="B171" s="1" t="s">
        <v>32</v>
      </c>
      <c r="C171" s="34"/>
      <c r="D171" s="34"/>
      <c r="E171" s="35"/>
      <c r="F171" s="35"/>
      <c r="G171" s="35"/>
      <c r="H171" s="17">
        <f>((H170*$A$91)*($A$83+$A$84))+(H170*$A$85)</f>
        <v>212825.67540075295</v>
      </c>
      <c r="I171" s="47">
        <f t="shared" si="7"/>
        <v>17987.77540075296</v>
      </c>
    </row>
    <row r="172" spans="1:9" ht="12.75">
      <c r="A172" s="15">
        <f>A153</f>
        <v>188794.710236752</v>
      </c>
      <c r="B172" s="1" t="s">
        <v>33</v>
      </c>
      <c r="C172" s="34"/>
      <c r="D172" s="34"/>
      <c r="E172" s="35"/>
      <c r="F172" s="35"/>
      <c r="G172" s="35"/>
      <c r="H172" s="15">
        <f>H171-H139</f>
        <v>207504.5958268181</v>
      </c>
      <c r="I172" s="47">
        <f t="shared" si="7"/>
        <v>18709.885590066115</v>
      </c>
    </row>
    <row r="173" spans="1:9" ht="12.75">
      <c r="A173" s="27"/>
      <c r="B173" s="28"/>
      <c r="C173" s="28"/>
      <c r="D173" s="28"/>
      <c r="E173" s="28"/>
      <c r="F173" s="28"/>
      <c r="G173" s="28"/>
      <c r="H173" s="27"/>
      <c r="I173" s="27"/>
    </row>
    <row r="174" spans="1:9" ht="12.75">
      <c r="A174" s="31" t="str">
        <f>A3</f>
        <v>On-Farm AI</v>
      </c>
      <c r="B174" s="3" t="s">
        <v>156</v>
      </c>
      <c r="H174" s="31" t="str">
        <f>H3</f>
        <v>Commercial</v>
      </c>
      <c r="I174" s="4" t="s">
        <v>125</v>
      </c>
    </row>
    <row r="175" spans="1:9" ht="12.75">
      <c r="A175" s="9">
        <f>A128</f>
        <v>1931</v>
      </c>
      <c r="B175" s="38" t="s">
        <v>31</v>
      </c>
      <c r="H175" s="9">
        <f>A128</f>
        <v>1931</v>
      </c>
      <c r="I175" s="8">
        <f t="shared" si="7"/>
        <v>0</v>
      </c>
    </row>
    <row r="176" spans="1:9" ht="12.75">
      <c r="A176" s="7">
        <f>SUM(A65:A71)</f>
        <v>722</v>
      </c>
      <c r="B176" s="1" t="s">
        <v>35</v>
      </c>
      <c r="H176" s="7">
        <f>SUM(H65:H71)</f>
        <v>692</v>
      </c>
      <c r="I176" s="8">
        <f t="shared" si="7"/>
        <v>-30</v>
      </c>
    </row>
    <row r="177" spans="1:9" ht="12.75">
      <c r="A177" s="22">
        <f>A176/(A91-A15)</f>
        <v>3.0083333333333333</v>
      </c>
      <c r="B177" s="1" t="s">
        <v>36</v>
      </c>
      <c r="H177" s="22">
        <f>H176/(H91-H15)</f>
        <v>2.8833333333333333</v>
      </c>
      <c r="I177" s="14">
        <f t="shared" si="7"/>
        <v>-0.125</v>
      </c>
    </row>
    <row r="178" spans="1:9" ht="12.75">
      <c r="A178" s="18">
        <f>(A$65*A$75)+(A$66*A$76)+(A$67*A$77)+(A$68*A$78)+(A$69*A$79)+(A$70*A$80)+(A$71*A$81)</f>
        <v>41.714999999999996</v>
      </c>
      <c r="B178" s="1" t="s">
        <v>37</v>
      </c>
      <c r="H178" s="18">
        <f>(H$65*H$75)+(H$66*H$76)+(H$67*H$77)+(H$68*H$78)+(H$69*H$79)+(H$70*H$80)+(H$71*H$81)</f>
        <v>40.005</v>
      </c>
      <c r="I178" s="44">
        <f t="shared" si="7"/>
        <v>-1.7099999999999937</v>
      </c>
    </row>
    <row r="179" spans="1:9" ht="12.75">
      <c r="A179" s="15">
        <f>(A178*A175)</f>
        <v>80551.665</v>
      </c>
      <c r="B179" s="1" t="s">
        <v>38</v>
      </c>
      <c r="H179" s="15">
        <f>(H178*H175)</f>
        <v>77249.655</v>
      </c>
      <c r="I179" s="47">
        <f t="shared" si="7"/>
        <v>-3302.0099999999948</v>
      </c>
    </row>
    <row r="180" spans="1:9" ht="12.75">
      <c r="A180" s="17">
        <f>(($A$128*$A$91)*($A$83+$A$84))+($A$128*$A$85)-A179-$A$139</f>
        <v>108243.045236752</v>
      </c>
      <c r="B180" s="38" t="s">
        <v>160</v>
      </c>
      <c r="H180" s="17">
        <f>((A128*$A$91)*($A$83+$A$84))+(A128*$A$85)-H139-H179</f>
        <v>112267.16542606516</v>
      </c>
      <c r="I180" s="47">
        <f t="shared" si="7"/>
        <v>4024.120189313151</v>
      </c>
    </row>
    <row r="181" spans="1:9" ht="12.75">
      <c r="A181" s="27"/>
      <c r="B181" s="28"/>
      <c r="C181" s="28"/>
      <c r="D181" s="28"/>
      <c r="E181" s="28"/>
      <c r="F181" s="28"/>
      <c r="G181" s="28"/>
      <c r="H181" s="27"/>
      <c r="I181" s="27"/>
    </row>
    <row r="182" spans="1:9" ht="12.75">
      <c r="A182" s="32" t="str">
        <f>A3</f>
        <v>On-Farm AI</v>
      </c>
      <c r="B182" s="3" t="s">
        <v>159</v>
      </c>
      <c r="H182" s="32" t="str">
        <f>H3</f>
        <v>Commercial</v>
      </c>
      <c r="I182" s="4" t="s">
        <v>125</v>
      </c>
    </row>
    <row r="183" spans="1:9" ht="12.75">
      <c r="A183" s="9">
        <f>A128</f>
        <v>1931</v>
      </c>
      <c r="B183" s="1" t="s">
        <v>39</v>
      </c>
      <c r="H183" s="9">
        <f>A151</f>
        <v>1931</v>
      </c>
      <c r="I183" s="8">
        <f t="shared" si="7"/>
        <v>0</v>
      </c>
    </row>
    <row r="184" spans="1:9" ht="12.75">
      <c r="A184" s="17">
        <f>((A128*A91)*(A83+A84))+(A128*A85)</f>
        <v>194837.9</v>
      </c>
      <c r="B184" s="38" t="s">
        <v>157</v>
      </c>
      <c r="H184" s="17">
        <f>((H183*H91)*(H83+H84))+(H183*H85)</f>
        <v>205960.46</v>
      </c>
      <c r="I184" s="47">
        <f t="shared" si="7"/>
        <v>11122.559999999998</v>
      </c>
    </row>
    <row r="185" spans="1:9" ht="12.75">
      <c r="A185" s="16">
        <f>A184-A139</f>
        <v>188794.710236752</v>
      </c>
      <c r="B185" s="38" t="s">
        <v>158</v>
      </c>
      <c r="H185" s="16">
        <f>H184-H139</f>
        <v>200639.38042606515</v>
      </c>
      <c r="I185" s="47">
        <f t="shared" si="7"/>
        <v>11844.670189313154</v>
      </c>
    </row>
    <row r="186" spans="1:9" ht="12.75">
      <c r="A186" s="27"/>
      <c r="B186" s="28"/>
      <c r="C186" s="28"/>
      <c r="D186" s="28"/>
      <c r="E186" s="28"/>
      <c r="F186" s="28"/>
      <c r="G186" s="28"/>
      <c r="H186" s="27"/>
      <c r="I186" s="27"/>
    </row>
    <row r="187" spans="1:9" ht="12.75">
      <c r="A187" s="32" t="str">
        <f>A3</f>
        <v>On-Farm AI</v>
      </c>
      <c r="B187" s="3" t="s">
        <v>161</v>
      </c>
      <c r="H187" s="32" t="str">
        <f>H3</f>
        <v>Commercial</v>
      </c>
      <c r="I187" s="4" t="s">
        <v>125</v>
      </c>
    </row>
    <row r="188" spans="1:9" ht="12.75">
      <c r="A188" s="32"/>
      <c r="B188" s="3" t="s">
        <v>162</v>
      </c>
      <c r="H188" s="32"/>
      <c r="I188" s="8"/>
    </row>
    <row r="189" spans="1:9" ht="12.75">
      <c r="A189" s="9">
        <f>A124</f>
        <v>208.75</v>
      </c>
      <c r="B189" s="1" t="s">
        <v>29</v>
      </c>
      <c r="H189" s="9">
        <f>H124</f>
        <v>217</v>
      </c>
      <c r="I189" s="8">
        <f aca="true" t="shared" si="8" ref="I189:I201">H189-A189</f>
        <v>8.25</v>
      </c>
    </row>
    <row r="190" spans="1:9" ht="12.75">
      <c r="A190" s="22">
        <f>A127/A123/A7</f>
        <v>9.497945205479452</v>
      </c>
      <c r="B190" s="38" t="s">
        <v>163</v>
      </c>
      <c r="H190" s="22">
        <f>H127/H123/H7</f>
        <v>9.958219178082192</v>
      </c>
      <c r="I190" s="14">
        <f t="shared" si="8"/>
        <v>0.4602739726027405</v>
      </c>
    </row>
    <row r="191" spans="1:9" ht="12.75">
      <c r="A191" s="9">
        <f>A125*A14</f>
        <v>190.00799999999998</v>
      </c>
      <c r="B191" s="38" t="s">
        <v>130</v>
      </c>
      <c r="H191" s="9">
        <f>H$125*H$14</f>
        <v>199.2172</v>
      </c>
      <c r="I191" s="8">
        <f t="shared" si="8"/>
        <v>9.20920000000001</v>
      </c>
    </row>
    <row r="192" spans="1:9" ht="12.75">
      <c r="A192" s="9">
        <f>A127</f>
        <v>1981</v>
      </c>
      <c r="B192" s="38" t="s">
        <v>30</v>
      </c>
      <c r="H192" s="9">
        <f>H169</f>
        <v>2163.3572249828767</v>
      </c>
      <c r="I192" s="8">
        <f t="shared" si="8"/>
        <v>182.3572249828767</v>
      </c>
    </row>
    <row r="193" spans="1:9" ht="12.75">
      <c r="A193" s="9">
        <f>A128</f>
        <v>1931</v>
      </c>
      <c r="B193" s="38" t="s">
        <v>131</v>
      </c>
      <c r="H193" s="9">
        <f>H170</f>
        <v>2109.2732943583046</v>
      </c>
      <c r="I193" s="8">
        <f t="shared" si="8"/>
        <v>178.2732943583046</v>
      </c>
    </row>
    <row r="194" spans="1:9" ht="12.75">
      <c r="A194" s="18">
        <f>(A$65*A$75)+(A$66*A$76)+(A$67*A$77)+(A$68*A$78)+(A$69*A$79)+(A$70*A$80)+(A$71*A$81)</f>
        <v>41.714999999999996</v>
      </c>
      <c r="B194" s="1" t="s">
        <v>40</v>
      </c>
      <c r="H194" s="18">
        <f>(H$65*H$75)+(H$66*H$76)+(H$67*H$77)+(H$68*H$78)+(H$69*H$79)+(H$70*H$80)+(H$71*H$81)</f>
        <v>40.005</v>
      </c>
      <c r="I194" s="14">
        <f t="shared" si="8"/>
        <v>-1.7099999999999937</v>
      </c>
    </row>
    <row r="195" spans="1:9" ht="12.75">
      <c r="A195" s="15">
        <f>(A193*A194)</f>
        <v>80551.665</v>
      </c>
      <c r="B195" s="1" t="s">
        <v>41</v>
      </c>
      <c r="H195" s="15">
        <f>(H193*H194)</f>
        <v>84381.47814080399</v>
      </c>
      <c r="I195" s="47">
        <f t="shared" si="8"/>
        <v>3829.8131408039917</v>
      </c>
    </row>
    <row r="196" spans="1:9" ht="12.75">
      <c r="A196" s="17">
        <f>(($A$128*$A$91)*($A$83+$A$84))+($A$128*$A$85)</f>
        <v>194837.9</v>
      </c>
      <c r="B196" s="38" t="s">
        <v>32</v>
      </c>
      <c r="H196" s="15">
        <f>((H193*H91)*(H83+H84))+(H193*H85)</f>
        <v>224975.08957625675</v>
      </c>
      <c r="I196" s="47">
        <f t="shared" si="8"/>
        <v>30137.18957625676</v>
      </c>
    </row>
    <row r="197" spans="1:9" ht="12.75">
      <c r="A197" s="15">
        <f>(A196-A195-A139)</f>
        <v>108243.045236752</v>
      </c>
      <c r="B197" s="38" t="s">
        <v>160</v>
      </c>
      <c r="H197" s="15">
        <f>(H196-H195-H139)</f>
        <v>135272.53186151793</v>
      </c>
      <c r="I197" s="119">
        <f t="shared" si="8"/>
        <v>27029.486624765923</v>
      </c>
    </row>
    <row r="198" spans="1:9" ht="12.75">
      <c r="A198" s="15"/>
      <c r="B198" s="40" t="s">
        <v>168</v>
      </c>
      <c r="H198" s="15"/>
      <c r="I198" s="117"/>
    </row>
    <row r="199" spans="1:9" ht="12.75">
      <c r="A199" s="15">
        <f>A196*A94</f>
        <v>876.77055</v>
      </c>
      <c r="B199" s="38" t="s">
        <v>169</v>
      </c>
      <c r="H199" s="15">
        <f>H196*H94</f>
        <v>1012.3879030931553</v>
      </c>
      <c r="I199" s="119">
        <f t="shared" si="8"/>
        <v>135.61735309315532</v>
      </c>
    </row>
    <row r="200" spans="1:9" ht="12.75">
      <c r="A200" s="15">
        <f>A193*A91*A95</f>
        <v>1013.775</v>
      </c>
      <c r="B200" s="38" t="s">
        <v>170</v>
      </c>
      <c r="H200" s="15">
        <f>H193*H91*H95</f>
        <v>1107.3684795381098</v>
      </c>
      <c r="I200" s="119">
        <f t="shared" si="8"/>
        <v>93.59347953810982</v>
      </c>
    </row>
    <row r="201" spans="1:9" ht="12.75">
      <c r="A201" s="15">
        <f>A197-A199-A200</f>
        <v>106352.49968675201</v>
      </c>
      <c r="B201" s="38" t="s">
        <v>160</v>
      </c>
      <c r="H201" s="15">
        <f>H197-H199-H200</f>
        <v>133152.77547888667</v>
      </c>
      <c r="I201" s="117">
        <f t="shared" si="8"/>
        <v>26800.275792134664</v>
      </c>
    </row>
    <row r="202" spans="1:9" ht="12.75">
      <c r="A202" s="36"/>
      <c r="B202" s="29"/>
      <c r="C202" s="29"/>
      <c r="D202" s="29"/>
      <c r="E202" s="29"/>
      <c r="F202" s="29"/>
      <c r="G202" s="29"/>
      <c r="H202" s="36"/>
      <c r="I202" s="36"/>
    </row>
    <row r="203" ht="12.75">
      <c r="A203" s="37" t="s">
        <v>132</v>
      </c>
    </row>
  </sheetData>
  <sheetProtection password="C57E" sheet="1"/>
  <mergeCells count="4">
    <mergeCell ref="A97:I97"/>
    <mergeCell ref="A1:I1"/>
    <mergeCell ref="A62:I62"/>
    <mergeCell ref="A121:I121"/>
  </mergeCells>
  <printOptions/>
  <pageMargins left="1" right="0.4" top="0.9" bottom="0.8333333333333334" header="0.5" footer="0.33333333333333337"/>
  <pageSetup fitToHeight="3" horizontalDpi="300" verticalDpi="300" orientation="portrait" scale="81" r:id="rId3"/>
  <headerFooter alignWithMargins="0">
    <oddHeader>&amp;L&amp;"Arial,Bold"&amp;14Comparing On-Farm Semen to Purchased Semen&amp;RPage &amp;P</oddHeader>
  </headerFooter>
  <rowBreaks count="3" manualBreakCount="3">
    <brk id="61" max="8" man="1"/>
    <brk id="120" max="8" man="1"/>
    <brk id="173" max="8" man="1"/>
  </rowBreaks>
  <colBreaks count="1" manualBreakCount="1">
    <brk id="9" max="6553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Donald G. Levis</dc:creator>
  <cp:keywords/>
  <dc:description/>
  <cp:lastModifiedBy>Preferred Customer</cp:lastModifiedBy>
  <cp:lastPrinted>1999-04-25T16:12:52Z</cp:lastPrinted>
  <dcterms:created xsi:type="dcterms:W3CDTF">1998-11-12T22:24:29Z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