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5115" tabRatio="500" activeTab="0"/>
  </bookViews>
  <sheets>
    <sheet name="PRODUCTION" sheetId="1" r:id="rId1"/>
    <sheet name="OnFarmStud" sheetId="2" r:id="rId2"/>
    <sheet name="Cooperative" sheetId="3" r:id="rId3"/>
    <sheet name="FeeForService" sheetId="4" r:id="rId4"/>
    <sheet name="CommercialStud" sheetId="5" r:id="rId5"/>
    <sheet name="Summary" sheetId="6" r:id="rId6"/>
    <sheet name="SEWModel" sheetId="7" r:id="rId7"/>
  </sheets>
  <externalReferences>
    <externalReference r:id="rId10"/>
  </externalReferences>
  <definedNames>
    <definedName name="\B" localSheetId="2">'Cooperative'!$B$424:$B$424</definedName>
    <definedName name="\B">#REF!</definedName>
    <definedName name="\C">'PRODUCTION'!$B$172:$B$172</definedName>
    <definedName name="\D">'PRODUCTION'!$B$174:$B$174</definedName>
    <definedName name="\F">'PRODUCTION'!$B$156:$B$156</definedName>
    <definedName name="\G">'PRODUCTION'!$B$158:$B$158</definedName>
    <definedName name="\I" localSheetId="2">'Cooperative'!$B$424:$B$424</definedName>
    <definedName name="\I">#REF!</definedName>
    <definedName name="\P">'PRODUCTION'!$B$162</definedName>
    <definedName name="\R">'OnFarmStud'!$B$381</definedName>
    <definedName name="\T">'PRODUCTION'!$B$160:$B$160</definedName>
    <definedName name="\U" localSheetId="2">'Cooperative'!$B$424</definedName>
    <definedName name="\U">#REF!</definedName>
    <definedName name="\W">'FeeForService'!$B$183</definedName>
    <definedName name="\X">'CommercialStud'!$B$147</definedName>
    <definedName name="\Y">'Summary'!$C$41</definedName>
    <definedName name="\Z" localSheetId="2">'[1]SEWModel'!#REF!</definedName>
    <definedName name="\Z">'SEWModel'!#REF!</definedName>
    <definedName name="_xlnm.Print_Area" localSheetId="4">'CommercialStud'!$A$1:$I$144</definedName>
    <definedName name="_xlnm.Print_Area" localSheetId="2">'Cooperative'!$A$1:$G$390</definedName>
    <definedName name="_xlnm.Print_Area" localSheetId="3">'FeeForService'!$A$1:$J$181</definedName>
    <definedName name="_xlnm.Print_Area" localSheetId="1">'OnFarmStud'!$A$1:$G$374</definedName>
    <definedName name="_xlnm.Print_Area" localSheetId="0">'PRODUCTION'!$A$1:$C$150</definedName>
    <definedName name="_xlnm.Print_Area" localSheetId="6">'SEWModel'!$A$1:$F$253</definedName>
    <definedName name="_xlnm.Print_Area" localSheetId="5">'Summary'!$A$1:$K$37</definedName>
  </definedNames>
  <calcPr fullCalcOnLoad="1"/>
</workbook>
</file>

<file path=xl/comments1.xml><?xml version="1.0" encoding="utf-8"?>
<comments xmlns="http://schemas.openxmlformats.org/spreadsheetml/2006/main">
  <authors>
    <author>Donald G. Levis</author>
  </authors>
  <commentList>
    <comment ref="B1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You might need to change one row of the blue box values (Columns E thru U for Column B values) for pregnancy loss over time to match the entered farrowing rate value.</t>
        </r>
      </text>
    </comment>
    <comment ref="C1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You might need to change one row of the blue box values (Column E thru U for Column C values) for pregnancy loss overtime to match the entered farrowing rate values.</t>
        </r>
      </text>
    </comment>
    <comment ref="B65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If an error message (#DIV/0!) occurs, there is an incorrect value in B36 and(or) B37.</t>
        </r>
      </text>
    </comment>
    <comment ref="C65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If an error message occurs (#DIV/0!), there is an incorrect value in B36 and(or) B37.</t>
        </r>
      </text>
    </comment>
    <comment ref="B4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Number of groups gestating = [{(gestation length + average weaning-to-estrus interval + longest lactation length)/ farrowing interval between groups of sows} - number of farrowing units]</t>
        </r>
      </text>
    </comment>
    <comment ref="B2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is used to calculate the number of females to breed whereby the farrowing crates are utilized at capacity.</t>
        </r>
      </text>
    </comment>
    <comment ref="C2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is used to calculate the number of females to breed whereby the farrowing crates are utilized at capacity.</t>
        </r>
      </text>
    </comment>
    <comment ref="B2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Number of farrowing units = Total number of farrowing crates/[(number of farrowing crates x 365 days per year)/{365/number of days between farrowing groups) x (days farrowing crate is tied-up before sows farrow + longest lactation length for the group + the number of days used for cleaning, idleness, etc.)}]</t>
        </r>
      </text>
    </comment>
    <comment ref="C4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Number of groups gestating = [{(gestation length + average weaning-to-estrus interval + longest lactation length)/ farrowing interval between groups of sows} - number of farrowing units]</t>
        </r>
      </text>
    </comment>
    <comment ref="B94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is equal to the number of farrowing crates used per group of sows.</t>
        </r>
      </text>
    </comment>
    <comment ref="C94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is equal to the number of farrowing crates used per group of sows.</t>
        </r>
      </text>
    </comment>
    <comment ref="C2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Number of farrowing units = Total number of farrowing crates/[(number of farrowing crates x 365 days per year)/{365/number of days between farrowing groups) x (days farrowing crate is tied-up before sows farrow + longest lactation length for the group + the number of days used for cleaning, idleness, etc.)}]</t>
        </r>
      </text>
    </comment>
    <comment ref="C103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Number of gilts per delivery = (number of gilts to be served per group x number of days between deliveries)/number of days between groups of sows farrowing</t>
        </r>
      </text>
    </comment>
    <comment ref="B103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Number of gilts per delivery = (number of gilts to be served per group x number of days between deliveries)/number of days between groups of sows farrowing</t>
        </r>
      </text>
    </comment>
    <comment ref="B9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Number of gilts to be served per group = {(number of females in breeding &amp; gestation, B96 + number of females in farrowing facilities) x replacement rate]/(365/number of days between groups of sows farrowing </t>
        </r>
      </text>
    </comment>
    <comment ref="C9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Number of gilts to be served per group = {(number of females in breeding &amp; gestation, B96 + number of females in farrowing facilities) x replacement rate]/(365/number of days between groups of sows farrowing </t>
        </r>
      </text>
    </comment>
    <comment ref="B9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Percentage of gilts in estrus = number of days each group of gilts is available for service during the breeding period/21-day estrous cycle.  It is assumed that the gilts are randomly cycling.</t>
        </r>
      </text>
    </comment>
    <comment ref="C9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Percentage of gilts in estrus = number of days each group of gilts is available for service during the breeding period/21-day estrous cycle.  It is assumed that the gilts are randomly cycling.</t>
        </r>
      </text>
    </comment>
    <comment ref="B99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Number of eligible gilts = number of gilts served per group divided by percent of gilts expected to be in estrus </t>
        </r>
      </text>
    </comment>
    <comment ref="C99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Number of eligible gilts = number of gilts served per group divided by percent of gilts expected to be in estrus </t>
        </r>
      </text>
    </comment>
  </commentList>
</comments>
</file>

<file path=xl/comments2.xml><?xml version="1.0" encoding="utf-8"?>
<comments xmlns="http://schemas.openxmlformats.org/spreadsheetml/2006/main">
  <authors>
    <author>Donald G. Levis</author>
  </authors>
  <commentList>
    <comment ref="F100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Liters of extender to make = [total number of doses per period of analysis x (total volume of extended semen per dose - estimated mL of raw semen per dose)/1000 mL]</t>
        </r>
      </text>
    </comment>
    <comment ref="D100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Example:  
If 49.5 grams of a powder will make one liter of extender, a value of 1 is entered.  Thus, the corresponding price per unit sold is entered in the next column.
If 5 kg of a powder will make 101 liters, a value of 101 is entered.  Thus, the corresponding price for 5 kg of extender is entered in the next column.</t>
        </r>
      </text>
    </comment>
    <comment ref="C99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Initial percentage of supplies purchased</t>
        </r>
      </text>
    </comment>
    <comment ref="B109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Initial percentage of supplies purchased</t>
        </r>
      </text>
    </comment>
  </commentList>
</comments>
</file>

<file path=xl/comments3.xml><?xml version="1.0" encoding="utf-8"?>
<comments xmlns="http://schemas.openxmlformats.org/spreadsheetml/2006/main">
  <authors>
    <author>Donald G. Levis</author>
  </authors>
  <commentList>
    <comment ref="D102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Example:
If 49.5 g of a powder will make one liter of extender, a value of 1 is entered.  Thus, the corresponding price per unit sold is entered in the next column.
If 5kg of a powder will make 101 liters of extender, a value of 101 is entered.  Thus, the corresponding price per unit sold is entered in the next column.</t>
        </r>
      </text>
    </comment>
    <comment ref="F102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Liters of extender to make = [total number of doses per period of analysis x (total volume of extended semen per dose - estimated mL of raw semen per dose/1000 mL]</t>
        </r>
      </text>
    </comment>
    <comment ref="C101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Initial percentage of supplies purchased</t>
        </r>
      </text>
    </comment>
    <comment ref="B112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Initial percentage of supplies purchased</t>
        </r>
      </text>
    </comment>
  </commentList>
</comments>
</file>

<file path=xl/comments4.xml><?xml version="1.0" encoding="utf-8"?>
<comments xmlns="http://schemas.openxmlformats.org/spreadsheetml/2006/main">
  <authors>
    <author>Donald G. Levis</author>
  </authors>
  <commentList>
    <comment ref="F12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Distance to this stud may be different than to a cooperative stud.</t>
        </r>
      </text>
    </comment>
  </commentList>
</comments>
</file>

<file path=xl/comments5.xml><?xml version="1.0" encoding="utf-8"?>
<comments xmlns="http://schemas.openxmlformats.org/spreadsheetml/2006/main">
  <authors>
    <author>Donald G. Levis</author>
  </authors>
  <commentList>
    <comment ref="H10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Farrowing rate might improve with better quality semen.</t>
        </r>
      </text>
    </comment>
    <comment ref="H12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Litter size might imrove with better quality semen.</t>
        </r>
      </text>
    </comment>
  </commentList>
</comments>
</file>

<file path=xl/comments7.xml><?xml version="1.0" encoding="utf-8"?>
<comments xmlns="http://schemas.openxmlformats.org/spreadsheetml/2006/main">
  <authors>
    <author>Donald G. Levis</author>
  </authors>
  <commentList>
    <comment ref="F26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by changing the value in the CommercialStud Sheet (Column H, Row 9)</t>
        </r>
      </text>
    </comment>
    <comment ref="E26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by changing the value in the FeeForService Sheet (Column A, Row 147)</t>
        </r>
      </text>
    </comment>
    <comment ref="D26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by changing the value in the Production Sheet (Column C, Row 17)</t>
        </r>
      </text>
    </comment>
    <comment ref="C26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in Production sheet (column B, row 17)</t>
        </r>
      </text>
    </comment>
    <comment ref="F2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by changing the value in the CommercialStud Sheet (Column H, Row 11)</t>
        </r>
      </text>
    </comment>
    <comment ref="E2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by changing the value in the FeeForService Sheet (Column A, Row 149)</t>
        </r>
      </text>
    </comment>
    <comment ref="D2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by changing values in Production Sheet (Column C, Rows 10, 11, &amp; 12)</t>
        </r>
      </text>
    </comment>
    <comment ref="C2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by changing values in the Production sheet (Column B, Rows 10, 11, &amp; 12)</t>
        </r>
      </text>
    </comment>
    <comment ref="F2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in by changing values in Production Sheet (column B, row 13) and/or CommercialStud Sheet (column H, row 11)</t>
        </r>
      </text>
    </comment>
    <comment ref="E2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by changing a value in Production Sheet (column B, row 13) and/or FeeForService Sheet (column H, row 149) </t>
        </r>
      </text>
    </comment>
    <comment ref="D2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by changing the value in the Production Sheet (Column C, Row 13)</t>
        </r>
      </text>
    </comment>
    <comment ref="C2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can be changed by changing the value in the Production Sheet (Column B, Row 13)</t>
        </r>
      </text>
    </comment>
    <comment ref="E47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The boars are kept in a Fee-For-Service stud; thus, the feed bill is part of the montly charge.</t>
        </r>
      </text>
    </comment>
    <comment ref="C110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Lbs of open sow feed = [365 days per year -{(average number of farrowings per female per year x average number of days gestating)+(average number of farrowings per female per year x number of days for longest lactation length)}] x lbs of open sow feed per head per day x average number of females in herd</t>
        </r>
      </text>
    </comment>
    <comment ref="C112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Lbs of gestation feed = Average number of litters per sow per year x average number of days gestating x lbs of gestation feed per head per day x average number of females in herd</t>
        </r>
      </text>
    </comment>
    <comment ref="C114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Lbs of lactation feed = Average number of farrowings per female per year x number of days for longest lactation length x average number of pounds of lactation feed per head per day x average number of females in herd</t>
        </r>
      </text>
    </comment>
  </commentList>
</comments>
</file>

<file path=xl/sharedStrings.xml><?xml version="1.0" encoding="utf-8"?>
<sst xmlns="http://schemas.openxmlformats.org/spreadsheetml/2006/main" count="1629" uniqueCount="960">
  <si>
    <t>Number of slaughter pigs sold</t>
  </si>
  <si>
    <t>Cost per dose of semen</t>
  </si>
  <si>
    <t>Cost per sow bred</t>
  </si>
  <si>
    <t>Farrowing rate from Fee-For-Service semen, %</t>
  </si>
  <si>
    <t>Number of pigs born live per litter from Fee-For-Service semen</t>
  </si>
  <si>
    <t xml:space="preserve">     Distilled water (purchased), gallon</t>
  </si>
  <si>
    <t>#Total number of sows farrowed during period of analysis#</t>
  </si>
  <si>
    <t>#Labor to care for AI boars, $/boar/day#</t>
  </si>
  <si>
    <t>Software:  Microsoft Excel 97</t>
  </si>
  <si>
    <t>Preweaning survival (same for both types of semen), %</t>
  </si>
  <si>
    <t>Influence of improved farrowing rate</t>
  </si>
  <si>
    <t>Farrowing rate, %</t>
  </si>
  <si>
    <t>Survival rate weaning to market (same for both types of semen), %</t>
  </si>
  <si>
    <t>Number of females farrowed</t>
  </si>
  <si>
    <t>Total number of pigs weaned per period of analysis</t>
  </si>
  <si>
    <t>Total number of slaughter pigs per period of analysis</t>
  </si>
  <si>
    <t>Gross income at slaughter weight</t>
  </si>
  <si>
    <t>Income minus AI cost</t>
  </si>
  <si>
    <t>Influence of improved litter size born live</t>
  </si>
  <si>
    <t>Improved farrowing rate and litter size born live</t>
  </si>
  <si>
    <t>Average:</t>
  </si>
  <si>
    <t>(not used in cost calculations)</t>
  </si>
  <si>
    <t>FFS</t>
  </si>
  <si>
    <t>Week</t>
  </si>
  <si>
    <t>Doses</t>
  </si>
  <si>
    <t>Number</t>
  </si>
  <si>
    <t>@VLOOKUP Table 2.</t>
  </si>
  <si>
    <t>No. boars</t>
  </si>
  <si>
    <t>@VLOOKUP Table 3.</t>
  </si>
  <si>
    <t>Boar No.</t>
  </si>
  <si>
    <t>@VLOOKUP Table 1.</t>
  </si>
  <si>
    <t>Care</t>
  </si>
  <si>
    <t>Iso-cost</t>
  </si>
  <si>
    <t>Cost of</t>
  </si>
  <si>
    <t>dose</t>
  </si>
  <si>
    <t>Cost for</t>
  </si>
  <si>
    <t>mileage</t>
  </si>
  <si>
    <t>Accumul</t>
  </si>
  <si>
    <t>average</t>
  </si>
  <si>
    <t>per</t>
  </si>
  <si>
    <t>month</t>
  </si>
  <si>
    <t xml:space="preserve">Monthly </t>
  </si>
  <si>
    <t>care</t>
  </si>
  <si>
    <t>Charge</t>
  </si>
  <si>
    <t>monthly</t>
  </si>
  <si>
    <t>Fee</t>
  </si>
  <si>
    <t>boar</t>
  </si>
  <si>
    <t>(# indicates a value entered by computer on that side)</t>
  </si>
  <si>
    <t>#Number of days in period of analysis#</t>
  </si>
  <si>
    <t>#Number of females bred per group#</t>
  </si>
  <si>
    <t>#Number of inseminations per group bred#</t>
  </si>
  <si>
    <t>#Number of females bred#</t>
  </si>
  <si>
    <t>#Number of services#</t>
  </si>
  <si>
    <t>#Farrowing rate, %</t>
  </si>
  <si>
    <t>#Number pigs born alive per litter</t>
  </si>
  <si>
    <t>#Preweaning survival, %#</t>
  </si>
  <si>
    <t>#Total number of pigs weaned during period of analysis#</t>
  </si>
  <si>
    <t>#Survival rate weaning to market, %#</t>
  </si>
  <si>
    <t>#Total nunber of slaughter pigs sold#</t>
  </si>
  <si>
    <t>#Number of On-Farm AI boars#</t>
  </si>
  <si>
    <t>#Number of heat-checking boars#</t>
  </si>
  <si>
    <t>#Investment in AI boars (minus cull value), $#</t>
  </si>
  <si>
    <t>#Cost of AI boar feed, $#</t>
  </si>
  <si>
    <t>#Cost of nonconsumable AI equipment, $#</t>
  </si>
  <si>
    <t>#Cost of consumable AI equipment, $</t>
  </si>
  <si>
    <t>#Cost of structure for AI boars, collection area and laboratory, $#</t>
  </si>
  <si>
    <t>#Cost of labor to collect boars, $#</t>
  </si>
  <si>
    <t>#Cost of labor to process semen, $#</t>
  </si>
  <si>
    <t>#Cost of labor to clean laboratory, $#</t>
  </si>
  <si>
    <t>#Cost per dose of commercial semen, $</t>
  </si>
  <si>
    <t>#Number of groups bred in period of analysis#</t>
  </si>
  <si>
    <t>#Number of semen deliveries per group bred</t>
  </si>
  <si>
    <t>Initial weight of pig, lbs</t>
  </si>
  <si>
    <t>Distibution of feed from weaning to slaughter weight</t>
  </si>
  <si>
    <t xml:space="preserve">   Starter 1 (lbs per pig; 8 to 13 lbs body weight)</t>
  </si>
  <si>
    <t xml:space="preserve">   Starter 2 (lbs per pig; 13 to 25 lbs body weight)</t>
  </si>
  <si>
    <t xml:space="preserve">   Starter 3 (lbs per pig; 25 to 45 lbs body weight)</t>
  </si>
  <si>
    <t xml:space="preserve">   Grower 1 (lbs per pig; 45 to 80 lbs)</t>
  </si>
  <si>
    <t xml:space="preserve">   Grower 2 (lbs per pig; 80 to 130 lbs body weight)</t>
  </si>
  <si>
    <t xml:space="preserve">   Finisher 1 (lbs per pig; 130 to 190 lbs body weight)</t>
  </si>
  <si>
    <t xml:space="preserve">   Finisher 2 (lbs per pig; 190 to 250 lbs body weight)</t>
  </si>
  <si>
    <t>Price of feed, $/lb</t>
  </si>
  <si>
    <t xml:space="preserve">   Starter 1</t>
  </si>
  <si>
    <t xml:space="preserve">   Starter 2</t>
  </si>
  <si>
    <t xml:space="preserve">   Starter 3</t>
  </si>
  <si>
    <t xml:space="preserve">   Grower 1</t>
  </si>
  <si>
    <t xml:space="preserve">   Grower 2</t>
  </si>
  <si>
    <t xml:space="preserve">   Finisher 1</t>
  </si>
  <si>
    <t xml:space="preserve">   Finisher 2</t>
  </si>
  <si>
    <t>Artificial Insemination Costs</t>
  </si>
  <si>
    <t>On-Farm expenses for AI</t>
  </si>
  <si>
    <t>Cost for doses of commercial semen</t>
  </si>
  <si>
    <t>Freight to deliver semen</t>
  </si>
  <si>
    <t>Total expense for AI semen</t>
  </si>
  <si>
    <t>AI semen cost per female bred</t>
  </si>
  <si>
    <t>AI semen cost per pig weaned</t>
  </si>
  <si>
    <t>AI semen cost per slaughter pig</t>
  </si>
  <si>
    <t>Number of pigs weaned per litter</t>
  </si>
  <si>
    <t>Total number of slaughter pigs</t>
  </si>
  <si>
    <t>Total lbs of feed per pig from weaning to slaughter</t>
  </si>
  <si>
    <t>Feed to gain ratio</t>
  </si>
  <si>
    <t>Total feed cost from weaning to slaughter, ($/pig)</t>
  </si>
  <si>
    <t>Feed cost for pigs from weaning to slaughter</t>
  </si>
  <si>
    <t>Number of slaughter pigs</t>
  </si>
  <si>
    <t>Feed cost from weaning to slaughter, ($/pig)</t>
  </si>
  <si>
    <t>Total feed cost for period of analysis</t>
  </si>
  <si>
    <t>Gross income</t>
  </si>
  <si>
    <t xml:space="preserve">      Input Values</t>
  </si>
  <si>
    <t>Commercial</t>
  </si>
  <si>
    <t>Difference</t>
  </si>
  <si>
    <t>Values for:</t>
  </si>
  <si>
    <t>Number of groups bred</t>
  </si>
  <si>
    <t>Number of females insemeniated per group</t>
  </si>
  <si>
    <t>Total number of inseminations per group</t>
  </si>
  <si>
    <t>Total number of doses of semen during period of analysis</t>
  </si>
  <si>
    <t>Number females bred</t>
  </si>
  <si>
    <t>Number females farrowed</t>
  </si>
  <si>
    <t>Weight at slaughter, lbs</t>
  </si>
  <si>
    <t>Price received for slaugter pigs, $/lb</t>
  </si>
  <si>
    <t>Cost of semen</t>
  </si>
  <si>
    <t>Summary Sheet Comparing Studs</t>
  </si>
  <si>
    <t>FFS-stud</t>
  </si>
  <si>
    <t xml:space="preserve">  Name of Producer</t>
  </si>
  <si>
    <t xml:space="preserve">  Rural Route, Street, etc.</t>
  </si>
  <si>
    <t xml:space="preserve">  City/State/Zip Code</t>
  </si>
  <si>
    <t xml:space="preserve">  Date:</t>
  </si>
  <si>
    <t>Information for Replacement Gilts</t>
  </si>
  <si>
    <t xml:space="preserve">     Extender powder (liters made per quanitity)</t>
  </si>
  <si>
    <t xml:space="preserve">  Annualized replacement rate (sows and gilts), %</t>
  </si>
  <si>
    <t xml:space="preserve">  Farrowing rate of replacement gilts, %</t>
  </si>
  <si>
    <t xml:space="preserve">  Replacement gilts purchased, %</t>
  </si>
  <si>
    <t xml:space="preserve">  Purchase price of replacement gilts, $/head</t>
  </si>
  <si>
    <t xml:space="preserve">  Avg days entry-to-service, gilts</t>
  </si>
  <si>
    <t xml:space="preserve">  Number days each group of gilts available for service</t>
  </si>
  <si>
    <t xml:space="preserve">  Number days between delivery of gilts</t>
  </si>
  <si>
    <t xml:space="preserve">  Noncyclic gilts, %</t>
  </si>
  <si>
    <t xml:space="preserve">  Avg wt gain of problem gilts before culled, lbs</t>
  </si>
  <si>
    <t>Farrowing and Weaned Piglet Information</t>
  </si>
  <si>
    <t xml:space="preserve">  Number of days between farrowing groups</t>
  </si>
  <si>
    <t xml:space="preserve">  Average number of females in breeding herd</t>
  </si>
  <si>
    <t xml:space="preserve">  Total Litters Farrowed per Year</t>
  </si>
  <si>
    <t xml:space="preserve">  Number of live piglets farrowed per Litter</t>
  </si>
  <si>
    <t xml:space="preserve">  Number of piglets weaned per litter</t>
  </si>
  <si>
    <t xml:space="preserve">  Average age of piglets at  weaning, days</t>
  </si>
  <si>
    <t>Breeding Herd Death Loss Information</t>
  </si>
  <si>
    <t xml:space="preserve">  Annual death loss of females, % of inventory</t>
  </si>
  <si>
    <t xml:space="preserve">  Average weight of dead females, lbs</t>
  </si>
  <si>
    <t>Sale Weights, Selling Prices and Feed Prices</t>
  </si>
  <si>
    <t xml:space="preserve">  Average sale weight of weaned piglets, lbs</t>
  </si>
  <si>
    <t xml:space="preserve">  Average selling price of weaned piglets, $/lb</t>
  </si>
  <si>
    <t xml:space="preserve">  Average sale weight of culled females, lbs</t>
  </si>
  <si>
    <t xml:space="preserve">  Average selling price of culled females, $/lb</t>
  </si>
  <si>
    <t xml:space="preserve">  Purchase price for gestation &amp; open sow feed, $/lb</t>
  </si>
  <si>
    <t xml:space="preserve">  Purchase price for lactation feed, $/lb</t>
  </si>
  <si>
    <t xml:space="preserve">  Purchase price for boar feed, $/lb</t>
  </si>
  <si>
    <t xml:space="preserve">  Open females not gestating or lactating, lbs/day</t>
  </si>
  <si>
    <t xml:space="preserve">  Gestating females, lbs/day</t>
  </si>
  <si>
    <t xml:space="preserve">  Lactating females, lbs/day</t>
  </si>
  <si>
    <t xml:space="preserve">  Boars, lbs/day</t>
  </si>
  <si>
    <t>Facility Cost</t>
  </si>
  <si>
    <t xml:space="preserve">  Construction cost (breeding/gestation), $/female</t>
  </si>
  <si>
    <t xml:space="preserve">  Total number of breeding/gestation spaces</t>
  </si>
  <si>
    <t xml:space="preserve">  Construction cost (farrowing), $/space</t>
  </si>
  <si>
    <t xml:space="preserve">  Total number of farrowing crates</t>
  </si>
  <si>
    <t xml:space="preserve">  Construction cost (replacement gilts), $/space</t>
  </si>
  <si>
    <t xml:space="preserve">  Total number of gilts</t>
  </si>
  <si>
    <t xml:space="preserve">  Useful life span of structure, years</t>
  </si>
  <si>
    <t xml:space="preserve">  Percent of construction cost financed</t>
  </si>
  <si>
    <t xml:space="preserve">  Interest rate, %</t>
  </si>
  <si>
    <t xml:space="preserve">  Number of payment periods for the loan</t>
  </si>
  <si>
    <t xml:space="preserve">  Yearly taxes (% of total investment)</t>
  </si>
  <si>
    <t xml:space="preserve">  Yearly insurance (% of total investment)</t>
  </si>
  <si>
    <t>Labor cost</t>
  </si>
  <si>
    <t xml:space="preserve">  Number of employees (Level 1)</t>
  </si>
  <si>
    <t xml:space="preserve">  Average wages per employee, $/hour</t>
  </si>
  <si>
    <t xml:space="preserve">  Average number of hours per week per employee</t>
  </si>
  <si>
    <t xml:space="preserve">  Number of weeks per year </t>
  </si>
  <si>
    <t>No improvement inf farrowing rate, litter size, feed efficiency or carcass quality</t>
  </si>
  <si>
    <t>Template developed by D. G. Levis, University of Nebraska (April 1999)</t>
  </si>
  <si>
    <t>Miscellaneous items</t>
  </si>
  <si>
    <t>Freight insurance on slaughter pigs, $/lb of liveweight</t>
  </si>
  <si>
    <t>National Legislative Pork Check-Off, $ per gross dollar value</t>
  </si>
  <si>
    <t>Check-off dollars to the National Pork Board</t>
  </si>
  <si>
    <t>Other expense items</t>
  </si>
  <si>
    <t>Freight insurance of slaughter pigs</t>
  </si>
  <si>
    <t>GROSS INCOME (less feed, AI, check-off &amp; insurance cost)</t>
  </si>
  <si>
    <t>Gross income with carcass premium</t>
  </si>
  <si>
    <t xml:space="preserve">  Number of employees (Level 2)</t>
  </si>
  <si>
    <t xml:space="preserve">  Number of employees (Level 3)</t>
  </si>
  <si>
    <t>Other Costs</t>
  </si>
  <si>
    <t xml:space="preserve">  Operating loan</t>
  </si>
  <si>
    <t xml:space="preserve">  Interest rate on operating loan, %</t>
  </si>
  <si>
    <t xml:space="preserve">  Number of payment periods for operating loan</t>
  </si>
  <si>
    <t xml:space="preserve">  Utilities (fuel, electricity, etc.), $/pig</t>
  </si>
  <si>
    <t xml:space="preserve">  Veterinary expense and medication, $/pig</t>
  </si>
  <si>
    <t>Input Values</t>
  </si>
  <si>
    <t>Mr. SEW</t>
  </si>
  <si>
    <t>Hog Wallow Road</t>
  </si>
  <si>
    <t>Lincoln, NE 68583</t>
  </si>
  <si>
    <t>August 4, 1998</t>
  </si>
  <si>
    <t>Calculated Values</t>
  </si>
  <si>
    <t>Farrowings from gilts, %</t>
  </si>
  <si>
    <t>Piglets surviving (birth to weaning) %</t>
  </si>
  <si>
    <t>Farrowings per female per year</t>
  </si>
  <si>
    <t>Average number of females in the herd</t>
  </si>
  <si>
    <t>Total number of piglets weaned per year</t>
  </si>
  <si>
    <t>Potential lbs of piglets produced per year</t>
  </si>
  <si>
    <t>Selling price of piglets, $/lb</t>
  </si>
  <si>
    <t>Gross income from sales of piglets</t>
  </si>
  <si>
    <t>Wt gain of culled &amp; sold sows &amp; gilts, lbs</t>
  </si>
  <si>
    <t>Selling price of culled females, $/lb</t>
  </si>
  <si>
    <t>Gross income from culled females</t>
  </si>
  <si>
    <t>Feed for open females,lbs</t>
  </si>
  <si>
    <t>Total cost of feed for open females</t>
  </si>
  <si>
    <t>Feed for gestating females</t>
  </si>
  <si>
    <t>Total cost of feed for gestating females</t>
  </si>
  <si>
    <t>Feed for lactating females, lbs</t>
  </si>
  <si>
    <t>Total cost of feed for lactating females</t>
  </si>
  <si>
    <t>Feed for heat-check boars, lbs</t>
  </si>
  <si>
    <t>Total cost of feed for heat-check boars</t>
  </si>
  <si>
    <t>Feed for AI boars, lbs</t>
  </si>
  <si>
    <t>Total cost of feed for AI boars</t>
  </si>
  <si>
    <t>Total pounds of feed to breeding herd</t>
  </si>
  <si>
    <t>Total cost of feed to breeding herd</t>
  </si>
  <si>
    <t>Average cost per ton of feed</t>
  </si>
  <si>
    <t>Feed conversion of breeding herd</t>
  </si>
  <si>
    <t>Pounds of feed per piglet sold</t>
  </si>
  <si>
    <t>Gross income from weaned piglets</t>
  </si>
  <si>
    <t>TOTAL GROSS INCOME</t>
  </si>
  <si>
    <t>Total gross income</t>
  </si>
  <si>
    <t>Total feed cost</t>
  </si>
  <si>
    <t>Increase in base price per head liveweight ($ per lb)</t>
  </si>
  <si>
    <t>Base price per head liveweight ($ per lb)</t>
  </si>
  <si>
    <t>Average carcass premium ($ per head)</t>
  </si>
  <si>
    <t>RETURNS ABOVE FEED COSTS</t>
  </si>
  <si>
    <t>Number of gilts to be served per group</t>
  </si>
  <si>
    <t>Number of service eligible gilts</t>
  </si>
  <si>
    <t>Number of acclimating gilts</t>
  </si>
  <si>
    <t>Total number of gilts per year</t>
  </si>
  <si>
    <t>Total cost of replacement gilts</t>
  </si>
  <si>
    <t>RETURNS ABOVE FEED &amp; GILT COSTS</t>
  </si>
  <si>
    <t xml:space="preserve">         Calculated Cost for Facilities, Labor, Taxes, and Insurance</t>
  </si>
  <si>
    <t>Initial cost of farrowing facility</t>
  </si>
  <si>
    <t>Initial cost of gilt facility</t>
  </si>
  <si>
    <t>Total initial cost of facilities</t>
  </si>
  <si>
    <t>Amount financed</t>
  </si>
  <si>
    <t>Principal and interest payment (yearly)</t>
  </si>
  <si>
    <t>Labor cost (yearly)</t>
  </si>
  <si>
    <t>Taxes and insurance (yearly)</t>
  </si>
  <si>
    <t>Producing Segregated-Early-Weaned Pigs</t>
  </si>
  <si>
    <t>Number of doses of semen</t>
  </si>
  <si>
    <t>Selling weight of pigs, lbs</t>
  </si>
  <si>
    <t>Cost of open sow feed</t>
  </si>
  <si>
    <t>Cost of gestation feed</t>
  </si>
  <si>
    <t>Cost of lactation feed</t>
  </si>
  <si>
    <t>Cost of replacement gilts</t>
  </si>
  <si>
    <t>Principal and interest payment (Bldg)</t>
  </si>
  <si>
    <t>Labor per year</t>
  </si>
  <si>
    <t>Taxes and insurance</t>
  </si>
  <si>
    <t>Principal and interest (Operating loan)</t>
  </si>
  <si>
    <t>Utilities</t>
  </si>
  <si>
    <t>Veterinary expense &amp; medication</t>
  </si>
  <si>
    <t>Price received per weaned pig, $/lb</t>
  </si>
  <si>
    <t>Margin</t>
  </si>
  <si>
    <t>Number of Litters Farrowed per Year</t>
  </si>
  <si>
    <t>Average number of females in herd</t>
  </si>
  <si>
    <t>Farrowing rate of gilts, %</t>
  </si>
  <si>
    <t>Replacement gilts purchased, %</t>
  </si>
  <si>
    <t>Purchase price of replacement gilts, $</t>
  </si>
  <si>
    <t>Farrowings from first litter gilts, %</t>
  </si>
  <si>
    <t>Number of live piglets farrowed per litter</t>
  </si>
  <si>
    <t>Number of piglets weaned per litter</t>
  </si>
  <si>
    <t>Annual death loss of breeding females, %</t>
  </si>
  <si>
    <t>#Average number of piglets weaned/sow farrowed/group#</t>
  </si>
  <si>
    <t>#Average number of slaugter pigs sold/sow farrowed/group#</t>
  </si>
  <si>
    <t>Sale weight of weaned piglets, lbs.</t>
  </si>
  <si>
    <t>Sale price of weaned piglets, $/lb</t>
  </si>
  <si>
    <t>Sale weight of culled females, lbs</t>
  </si>
  <si>
    <t>Sale price of culled females, $/lb</t>
  </si>
  <si>
    <t>Purchase price of gestation &amp; open female feed, $/lb</t>
  </si>
  <si>
    <t>Purchase price of lactation feed, $/lb</t>
  </si>
  <si>
    <t>Purchase price of boar feed, $/lb</t>
  </si>
  <si>
    <t>Calculated Output</t>
  </si>
  <si>
    <t>Number of farrowings per female per year</t>
  </si>
  <si>
    <t>Survival rate of piglets from birth to weaning, %</t>
  </si>
  <si>
    <t>Number of piglets weaned per female per year</t>
  </si>
  <si>
    <t>Gross income from weaned piglets, $</t>
  </si>
  <si>
    <t>Gross income from culled females, $</t>
  </si>
  <si>
    <t>Total gross income, $</t>
  </si>
  <si>
    <t>Total volume of feed consumed, tons</t>
  </si>
  <si>
    <t>Template developed by:</t>
  </si>
  <si>
    <t>Donald G. Levis, Ph.D.</t>
  </si>
  <si>
    <t>Extension Swine Specialist</t>
  </si>
  <si>
    <t>Department of Animal Science</t>
  </si>
  <si>
    <t>University of Nebraska</t>
  </si>
  <si>
    <t>P.O. Box 830908</t>
  </si>
  <si>
    <t>Lincoln, NE 68583-0908</t>
  </si>
  <si>
    <t>Telephone: 402/472-6445</t>
  </si>
  <si>
    <t>FAX: 402/472-6362</t>
  </si>
  <si>
    <t>E-Mail: ansc307@unlvm.unl.edu</t>
  </si>
  <si>
    <t xml:space="preserve">                 Calculation of Animal Inventories &amp; Productivity</t>
  </si>
  <si>
    <t>*******************INPUT DATA************************</t>
  </si>
  <si>
    <t>Length of production period analyzed, days</t>
  </si>
  <si>
    <t>Biological Parameters</t>
  </si>
  <si>
    <t xml:space="preserve">    Normal weaned sows before pigs transferred in</t>
  </si>
  <si>
    <t>"Average" Pounds of Feed Per Animal</t>
  </si>
  <si>
    <t>Average Number of Boars</t>
  </si>
  <si>
    <t xml:space="preserve">  Number of AI boars</t>
  </si>
  <si>
    <t xml:space="preserve">  Number of heat-check boars</t>
  </si>
  <si>
    <t>Initial Purchase</t>
  </si>
  <si>
    <t>Initial</t>
  </si>
  <si>
    <t>Purchase</t>
  </si>
  <si>
    <t>Preweaning survival, %</t>
  </si>
  <si>
    <t>Weaning to slaughter survival, %</t>
  </si>
  <si>
    <t>Gestation Length, days</t>
  </si>
  <si>
    <t>Average Weaning-to-Service Interval, days</t>
  </si>
  <si>
    <t>Estimated Farrowing Rate, %</t>
  </si>
  <si>
    <t>Annual Replacement Rate, %</t>
  </si>
  <si>
    <t>Farrowing Facility &amp; Management Parameters</t>
  </si>
  <si>
    <t>Length of breeding period, days</t>
  </si>
  <si>
    <t>Farrowing Crate Tie-up before farrowing, days</t>
  </si>
  <si>
    <t>Farrowing Crate "down time" (cleaning, idle, etc.), days</t>
  </si>
  <si>
    <t>Total Number of Farrowing Crates</t>
  </si>
  <si>
    <t>Interval Between Farrowing Groups, days</t>
  </si>
  <si>
    <t>Expected Farrowing Crate Utilization, %</t>
  </si>
  <si>
    <t>Actual Farrowing Crate Utilization, %</t>
  </si>
  <si>
    <t>Management Parameters</t>
  </si>
  <si>
    <t>Number of Matings Per Female Per Service</t>
  </si>
  <si>
    <t xml:space="preserve">   Natural matings with boars</t>
  </si>
  <si>
    <t xml:space="preserve">   Artificial matings with "on-farm" collected semen</t>
  </si>
  <si>
    <t xml:space="preserve">   Artificial matings with "Off-Farm" semen</t>
  </si>
  <si>
    <t>Number of Natural Matings Per Boar Per Unit of Time</t>
  </si>
  <si>
    <t>% Active Boars for natural matings</t>
  </si>
  <si>
    <t>Number of times each boar is collected per group bred</t>
  </si>
  <si>
    <t>Average number of doses per boar per collection</t>
  </si>
  <si>
    <t>Proportion of collections discarded due to semen quality</t>
  </si>
  <si>
    <t>Number of sows per heat-check boar:</t>
  </si>
  <si>
    <t xml:space="preserve">    When artificially inseminating sows</t>
  </si>
  <si>
    <t xml:space="preserve">    When heat-checking gestation sows</t>
  </si>
  <si>
    <t>Acclimation Days for Gilts</t>
  </si>
  <si>
    <t>Days between Delivery of Gilts</t>
  </si>
  <si>
    <t>Additional Space in Breeding Facility</t>
  </si>
  <si>
    <t xml:space="preserve">  Late cycling, noncycling, early weaned, etc.</t>
  </si>
  <si>
    <t>(FFS-OnFS)</t>
  </si>
  <si>
    <t>Total varialble cost</t>
  </si>
  <si>
    <t xml:space="preserve">     Extender powder (liters made per quantity)</t>
  </si>
  <si>
    <t xml:space="preserve">         Semen was produced from:</t>
  </si>
  <si>
    <t xml:space="preserve"> (Entered as a percentage of group weaned)</t>
  </si>
  <si>
    <t xml:space="preserve">                Calculation of Animal Inventories &amp; Productivity</t>
  </si>
  <si>
    <t>*****'*********CALCULATED OUTPUT***************</t>
  </si>
  <si>
    <t>Number of farrowing crates per group</t>
  </si>
  <si>
    <t>Inventory of Boars to Produce Semen</t>
  </si>
  <si>
    <t>Number of Female Services by "On-farm" AI semen</t>
  </si>
  <si>
    <t>Number of Female Services by "Off-Farm" AI semen</t>
  </si>
  <si>
    <t>Number of boars needed for natural matings</t>
  </si>
  <si>
    <t>Minimum number of boars needed for "On-farm" semen</t>
  </si>
  <si>
    <t>Minimum number of boars needed for "Off-Farm" semen</t>
  </si>
  <si>
    <t>INVENTORY OF BOARS TO PRODUCE SEMEN</t>
  </si>
  <si>
    <t>Inventory of Boars to Heat-Check Sows</t>
  </si>
  <si>
    <t xml:space="preserve">    Number of boars needed (inseminating sows)</t>
  </si>
  <si>
    <t xml:space="preserve">    Number of boars needed (gestation sows)</t>
  </si>
  <si>
    <t>Total</t>
  </si>
  <si>
    <t>Calculating Number of Females in Breeding-Gestation Area</t>
  </si>
  <si>
    <t>Calculating divisor for accumulated average in Table 3.</t>
  </si>
  <si>
    <r>
      <t>Total number of doses</t>
    </r>
    <r>
      <rPr>
        <b/>
        <sz val="10"/>
        <rFont val="Arial"/>
        <family val="2"/>
      </rPr>
      <t xml:space="preserve"> needed</t>
    </r>
    <r>
      <rPr>
        <sz val="10"/>
        <rFont val="Arial"/>
        <family val="0"/>
      </rPr>
      <t xml:space="preserve"> during period of analysis</t>
    </r>
  </si>
  <si>
    <t>Input values entered by computer from OnFarmStud sheet</t>
  </si>
  <si>
    <t>Average purchase cost of AI boars</t>
  </si>
  <si>
    <t>Total cost to produce AI semen</t>
  </si>
  <si>
    <t>Total fixed cost</t>
  </si>
  <si>
    <t>Total variable cost</t>
  </si>
  <si>
    <t>Cost of AI boars</t>
  </si>
  <si>
    <t>Cost of heat-check boars</t>
  </si>
  <si>
    <t>#Investment in heat-check boars (minus cull value),$#</t>
  </si>
  <si>
    <t>#Cost of heat-check boar feed,$#</t>
  </si>
  <si>
    <t>#Isolation costs for AI boars (housing), $#</t>
  </si>
  <si>
    <t>#Isolation costs for AI boars (feed), $#</t>
  </si>
  <si>
    <t>#Isolation costs for AI boars (veterinary fees), $#</t>
  </si>
  <si>
    <t>#Isolation costs for AI boars (Animal care labor), $#</t>
  </si>
  <si>
    <t>#Isolation costs for AI boars (labor for training boars), $#</t>
  </si>
  <si>
    <t>#Cost of heat-check boar housing,$#</t>
  </si>
  <si>
    <t>Percentage of females pregnant (end of week)</t>
  </si>
  <si>
    <t xml:space="preserve">    Week 1 of Gestation</t>
  </si>
  <si>
    <t xml:space="preserve">    Week 2 of Gestation</t>
  </si>
  <si>
    <t xml:space="preserve">    Week 3 of Gestation</t>
  </si>
  <si>
    <t xml:space="preserve">    Week 4 of Gestation</t>
  </si>
  <si>
    <t xml:space="preserve">    Week 5 of Gestation</t>
  </si>
  <si>
    <t xml:space="preserve">    Week 6 of Gestation</t>
  </si>
  <si>
    <t xml:space="preserve">    Week 7 of Gestation</t>
  </si>
  <si>
    <t xml:space="preserve">    Week 8 of Gestation</t>
  </si>
  <si>
    <t xml:space="preserve">    Week 9 of Gestation</t>
  </si>
  <si>
    <t xml:space="preserve">    Week 10 of Gestation</t>
  </si>
  <si>
    <t xml:space="preserve">    Week 11 of Gestation</t>
  </si>
  <si>
    <t xml:space="preserve">    Week 12 of Gestation</t>
  </si>
  <si>
    <t xml:space="preserve">    Week 13 of Gestation</t>
  </si>
  <si>
    <t xml:space="preserve">    Week 14 of Gestation</t>
  </si>
  <si>
    <t xml:space="preserve">    Week 15 of Gestation</t>
  </si>
  <si>
    <t xml:space="preserve">    Week 16 of Gestation</t>
  </si>
  <si>
    <t>Total number of females gestating:</t>
  </si>
  <si>
    <t>Space for recently weaned sows:</t>
  </si>
  <si>
    <t>Additional space for "problem" females</t>
  </si>
  <si>
    <t>Females in breeding &amp; gestation (without gilts):</t>
  </si>
  <si>
    <t xml:space="preserve">    Number of Gilts to be Served Per Group</t>
  </si>
  <si>
    <t>Summary of "Variable" Cost for Cooperative Boar Stud (First year)</t>
  </si>
  <si>
    <t>Summary of "Fixed" Cost for Cooperative Boar Stud (First year)</t>
  </si>
  <si>
    <t>Feed cost in isolation unit</t>
  </si>
  <si>
    <t>Veterinary fees in isolation unit</t>
  </si>
  <si>
    <t>Cost for boar feed in stud</t>
  </si>
  <si>
    <t>Cost of labor for cleaning laboratory</t>
  </si>
  <si>
    <t>Cost of labor for semen processing</t>
  </si>
  <si>
    <t>Cost of labor for semen collection</t>
  </si>
  <si>
    <t>"Fixed" cost per dose of semen</t>
  </si>
  <si>
    <t>"Variable" cost per dose of semen</t>
  </si>
  <si>
    <t>Round trip mileage (stud to farm)</t>
  </si>
  <si>
    <t>Number of AI boars to put in main stud</t>
  </si>
  <si>
    <t>"Fixed" cost per dose of semen delivered</t>
  </si>
  <si>
    <t>Input data for isolation phase</t>
  </si>
  <si>
    <t>Input data for market pigs</t>
  </si>
  <si>
    <t>List of Artificial Insemination Equipment Costs</t>
  </si>
  <si>
    <t>Estimated Gross Income</t>
  </si>
  <si>
    <t>Proportion of "variable" cost allocated to farmer</t>
  </si>
  <si>
    <t>Proportion of total "fixed" cost allocated to farmer</t>
  </si>
  <si>
    <t xml:space="preserve">             (Without AI Equipment or Isolation Unit)</t>
  </si>
  <si>
    <t>Cost of animal husbandry labor in stud</t>
  </si>
  <si>
    <t>Cost of feed for AI boars in stud</t>
  </si>
  <si>
    <t>Total of "variable" costs for period of analysis</t>
  </si>
  <si>
    <t>Total "fixed" cost per period of analysis</t>
  </si>
  <si>
    <t>Summary of "Fixed" Cost for On-Farm Boar Stud (First year)</t>
  </si>
  <si>
    <t>Summary of Variable Cost for On-Farm Boar Stud (First year)</t>
  </si>
  <si>
    <t>Minimum Cost to Produce Semen from an On-Farm Stud</t>
  </si>
  <si>
    <t>Cost per:  Female Bred, Pig Weaned and Slaughter Pig Sold</t>
  </si>
  <si>
    <t xml:space="preserve">            Calculated values for:</t>
  </si>
  <si>
    <t>Total number of doses of semen prepared</t>
  </si>
  <si>
    <t>Gross Income minus AI cost</t>
  </si>
  <si>
    <t xml:space="preserve">    Gilts in Estrus Per Farrowing Group , %</t>
  </si>
  <si>
    <t xml:space="preserve">    Required number of ELIGIBLE gilts</t>
  </si>
  <si>
    <t>Females in breeding &amp; gestation with gilts:</t>
  </si>
  <si>
    <t>Females in farrowing houses:</t>
  </si>
  <si>
    <t>Total Females in farrowing, breeding &amp; gestation</t>
  </si>
  <si>
    <t>TOTAL FEMALE INVENTORY FOR ENTERPRISE:</t>
  </si>
  <si>
    <t>Key Targets</t>
  </si>
  <si>
    <t xml:space="preserve">          Level of Production for Period Analyzed</t>
  </si>
  <si>
    <t>Number of ACTIVE groups</t>
  </si>
  <si>
    <t>Required number of ELIGIBLE gilts Per Group</t>
  </si>
  <si>
    <t>Number of FEMALES to be Served Per Group:</t>
  </si>
  <si>
    <t xml:space="preserve">    Number of GILTS to be Served (maiden)</t>
  </si>
  <si>
    <t xml:space="preserve">    Number of SOWS to be Served (weaners + rebreeds)</t>
  </si>
  <si>
    <t xml:space="preserve">    Total Number of Females Bred</t>
  </si>
  <si>
    <t>Total number of females bred for period analyzed</t>
  </si>
  <si>
    <t>Total number of females bred by boars</t>
  </si>
  <si>
    <t>Template developed by D. G. Levis, University of Nebraska (March 1999)</t>
  </si>
  <si>
    <t>Market weight of slaughter pigs, lbs</t>
  </si>
  <si>
    <t>Market price of slaughter pigs, $/lb</t>
  </si>
  <si>
    <t>Number of females to breed per group:</t>
  </si>
  <si>
    <t>Cost per: Female Bred, Pig Weaned and Slaughter Pig Sold</t>
  </si>
  <si>
    <t>Number of boar spaces (entered by computer)</t>
  </si>
  <si>
    <t>FFS-OnFS</t>
  </si>
  <si>
    <t>(CS-OnFS)</t>
  </si>
  <si>
    <t>Total number of females bred by on-farm semen</t>
  </si>
  <si>
    <t>Total number of females bred by off-farm semen</t>
  </si>
  <si>
    <t>Total number of insemination during period of analysis</t>
  </si>
  <si>
    <t>Number of FEMALES FARROWING Per Group</t>
  </si>
  <si>
    <t>Total number of females farrowed for period analyzed</t>
  </si>
  <si>
    <t>Avg number of PIGS WEANED/Sow Farrowed/Group</t>
  </si>
  <si>
    <t>Number days farrowing crate is tied up</t>
  </si>
  <si>
    <t>Number of LITTERS PER FARROWING CRATE</t>
  </si>
  <si>
    <t>Total number of LITTERS</t>
  </si>
  <si>
    <t>Total number of PIGS WEANED</t>
  </si>
  <si>
    <t>Total number of slaughter pigs sold</t>
  </si>
  <si>
    <t xml:space="preserve">           Level of Production on a Yearly Basis</t>
  </si>
  <si>
    <t>Number of LITTERS PER FARROWING CRATE/Year</t>
  </si>
  <si>
    <t>Total number of LITTERS per year</t>
  </si>
  <si>
    <t>Total number of PIGS WEANED per year</t>
  </si>
  <si>
    <t>Number of PIGS WEANED PER CRATE per year</t>
  </si>
  <si>
    <t>Total number of replacement gilts per year</t>
  </si>
  <si>
    <t>Avg Number of Pigs Weaned/Inventoried Female/Year</t>
  </si>
  <si>
    <t xml:space="preserve">    "Without" gilts in isolation unit</t>
  </si>
  <si>
    <t xml:space="preserve">    "With" gilts in isolation unit</t>
  </si>
  <si>
    <t>Avg Number of Litters per Inventoried Female/Year</t>
  </si>
  <si>
    <t>Scenario 1</t>
  </si>
  <si>
    <t>On-Farm</t>
  </si>
  <si>
    <t>Page 1</t>
  </si>
  <si>
    <t>Scenario 2</t>
  </si>
  <si>
    <t>Coop</t>
  </si>
  <si>
    <t>Page 2</t>
  </si>
  <si>
    <t>Page 3</t>
  </si>
  <si>
    <t>Column B</t>
  </si>
  <si>
    <t>Far rate</t>
  </si>
  <si>
    <t>Column C</t>
  </si>
  <si>
    <t>Number of</t>
  </si>
  <si>
    <t>Gest units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</si>
  <si>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</si>
  <si>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</si>
  <si>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</si>
  <si>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</si>
  <si>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</si>
  <si>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</si>
  <si>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</si>
  <si>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</si>
  <si>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</si>
  <si>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</si>
  <si>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</si>
  <si>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</si>
  <si>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</si>
  <si>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Wk13</t>
  </si>
  <si>
    <t>Wk 14</t>
  </si>
  <si>
    <t>Wk 15</t>
  </si>
  <si>
    <t>Number of Gilts Per Delivery Group (in isolation/acclimation)</t>
  </si>
  <si>
    <t>Wk 16</t>
  </si>
  <si>
    <t>Number of days in isolation</t>
  </si>
  <si>
    <t>Labor for care of animals (hours per day)</t>
  </si>
  <si>
    <t>Labor for training boars to mount dummy (total hours)</t>
  </si>
  <si>
    <t>Rate of pay for labor ($ per hour)</t>
  </si>
  <si>
    <t>Feed cost ($ per pound)</t>
  </si>
  <si>
    <t>Boar feed (pounds per head per day)</t>
  </si>
  <si>
    <t>Boar housing ($ per day)</t>
  </si>
  <si>
    <t>Veterinary fees per boar</t>
  </si>
  <si>
    <t>Weight of pigs at slaughter, lbs</t>
  </si>
  <si>
    <t>Price received at slaughter, $/lb</t>
  </si>
  <si>
    <t>Number of days in period of analysis</t>
  </si>
  <si>
    <t>Number of AI boars</t>
  </si>
  <si>
    <t>Number of heat-check boars</t>
  </si>
  <si>
    <t>Number of females inseminated per group</t>
  </si>
  <si>
    <t>Number of inseminations per female per estrus</t>
  </si>
  <si>
    <t>Number of inseminations per group bred</t>
  </si>
  <si>
    <t>Number of groups bred during period of analysis</t>
  </si>
  <si>
    <t>Number of semen doses per collection</t>
  </si>
  <si>
    <t>Total number of collections during period of analysis</t>
  </si>
  <si>
    <t>Total number of females inseminated during period of analysis</t>
  </si>
  <si>
    <t>Total minimum doses of semen during period of analysis</t>
  </si>
  <si>
    <t>Total number of females farrowed during period of analysis</t>
  </si>
  <si>
    <t>Average number of pigs weaned per litter</t>
  </si>
  <si>
    <t>Total number of pigs weaned per group</t>
  </si>
  <si>
    <t>Total number of slaughter pigs sold during period of analysis</t>
  </si>
  <si>
    <t>Semen Collection (Equipment &amp; Supplies)</t>
  </si>
  <si>
    <t xml:space="preserve">  Nonconsumable equipment</t>
  </si>
  <si>
    <t xml:space="preserve">     Dummy sow</t>
  </si>
  <si>
    <t xml:space="preserve">     Rubber breeding  mat</t>
  </si>
  <si>
    <t xml:space="preserve">     Collection vessel</t>
  </si>
  <si>
    <t xml:space="preserve">     Precollection incubator</t>
  </si>
  <si>
    <t xml:space="preserve">  Consumable supplies</t>
  </si>
  <si>
    <t xml:space="preserve">     Plastic bags</t>
  </si>
  <si>
    <t xml:space="preserve">     Filters for collection</t>
  </si>
  <si>
    <t xml:space="preserve">     Rubber bands</t>
  </si>
  <si>
    <t xml:space="preserve">     Gloves, vinyl</t>
  </si>
  <si>
    <t xml:space="preserve">     Precollection gloves</t>
  </si>
  <si>
    <t>Semen Evaluation (Equipment &amp; Supplies)</t>
  </si>
  <si>
    <t xml:space="preserve">     Sperm concentration instrument</t>
  </si>
  <si>
    <t xml:space="preserve">     Microscope</t>
  </si>
  <si>
    <t xml:space="preserve">     Slide warmer</t>
  </si>
  <si>
    <t xml:space="preserve">     Washbottle, water</t>
  </si>
  <si>
    <t xml:space="preserve">     Washbottle, alcohol</t>
  </si>
  <si>
    <t xml:space="preserve">     Washbottle, soap</t>
  </si>
  <si>
    <t xml:space="preserve">     Rack for semen samples</t>
  </si>
  <si>
    <t xml:space="preserve">     Ethyl alcohol</t>
  </si>
  <si>
    <t xml:space="preserve">     Detergent concentrate</t>
  </si>
  <si>
    <t xml:space="preserve">     Parafilm</t>
  </si>
  <si>
    <t xml:space="preserve">     Immersion oil for 100x objectives</t>
  </si>
  <si>
    <t xml:space="preserve">     Lens paper for microscope</t>
  </si>
  <si>
    <t xml:space="preserve">     Compressed air for microscope</t>
  </si>
  <si>
    <t xml:space="preserve">     Kimwipes</t>
  </si>
  <si>
    <t xml:space="preserve">     Sperm concentration supplies</t>
  </si>
  <si>
    <t xml:space="preserve">     Tubes for semen samples</t>
  </si>
  <si>
    <t xml:space="preserve">     Pipette tips</t>
  </si>
  <si>
    <t xml:space="preserve">     Microscope slides</t>
  </si>
  <si>
    <t xml:space="preserve">     Microscope slides, caffeine</t>
  </si>
  <si>
    <t xml:space="preserve">     Cover glass for slides</t>
  </si>
  <si>
    <t xml:space="preserve">     Transferring sample to slide</t>
  </si>
  <si>
    <t>Extending Semen (Equipment &amp; Supplies)</t>
  </si>
  <si>
    <t xml:space="preserve">  Noncomsumable equipment</t>
  </si>
  <si>
    <t xml:space="preserve">     Warm water bath system</t>
  </si>
  <si>
    <t xml:space="preserve">     Electronic balance</t>
  </si>
  <si>
    <t xml:space="preserve">     Thermometer</t>
  </si>
  <si>
    <t xml:space="preserve">     Water distiller</t>
  </si>
  <si>
    <t xml:space="preserve">     Plastic pitcher(s)</t>
  </si>
  <si>
    <t xml:space="preserve">     Raw semen per dose, mL</t>
  </si>
  <si>
    <t xml:space="preserve">     Total volume of extended semen/dose, mL</t>
  </si>
  <si>
    <t>Number of sow groups gestating (calculated value)</t>
  </si>
  <si>
    <t>Template developed by D. G. Levis, University of Nebraska (as of March 1999)</t>
  </si>
  <si>
    <t xml:space="preserve">     Plastic bags to mix extender</t>
  </si>
  <si>
    <t>Packaging Semen (Equipment &amp; Supplies)</t>
  </si>
  <si>
    <t xml:space="preserve">     Dispensing unit</t>
  </si>
  <si>
    <t xml:space="preserve">     Sealing apparatus</t>
  </si>
  <si>
    <t xml:space="preserve">     Tubes</t>
  </si>
  <si>
    <t xml:space="preserve">     Cochettes</t>
  </si>
  <si>
    <t xml:space="preserve">     Sembags</t>
  </si>
  <si>
    <t xml:space="preserve">     Bottles</t>
  </si>
  <si>
    <t>Semen Storage (Equipment &amp; Supplies)</t>
  </si>
  <si>
    <t xml:space="preserve">     Semen cooler</t>
  </si>
  <si>
    <t xml:space="preserve">     Temperature recorder</t>
  </si>
  <si>
    <t>Insemination Equipment &amp; Supplies</t>
  </si>
  <si>
    <t xml:space="preserve">     Semen transport vessel</t>
  </si>
  <si>
    <t xml:space="preserve">     Insemination saddle</t>
  </si>
  <si>
    <t xml:space="preserve">     Insemination belt</t>
  </si>
  <si>
    <t xml:space="preserve">     Cap cutter</t>
  </si>
  <si>
    <t xml:space="preserve">     Catheter</t>
  </si>
  <si>
    <t xml:space="preserve">     Lubrication</t>
  </si>
  <si>
    <t>Summary of costs</t>
  </si>
  <si>
    <t>Initial cost of nonconsumables</t>
  </si>
  <si>
    <t>Cost during period of analysis</t>
  </si>
  <si>
    <t xml:space="preserve">   Nonconsumables</t>
  </si>
  <si>
    <t xml:space="preserve">   Consumables</t>
  </si>
  <si>
    <t>Estimated Cost to Build an On-Farm Boar Stud</t>
  </si>
  <si>
    <t>Estimated cost per boar space (below estimates are unknown)</t>
  </si>
  <si>
    <t>Estimated total cost (below values are unknown)</t>
  </si>
  <si>
    <t>Preparation of site</t>
  </si>
  <si>
    <t xml:space="preserve">   Road development</t>
  </si>
  <si>
    <t xml:space="preserve">   Electrical line</t>
  </si>
  <si>
    <t>(As of May 8, 1999)</t>
  </si>
  <si>
    <t xml:space="preserve">   Energy supply (natural gas, propane)</t>
  </si>
  <si>
    <t xml:space="preserve">   Telephone line</t>
  </si>
  <si>
    <t xml:space="preserve">   Water supply</t>
  </si>
  <si>
    <t xml:space="preserve">   Manure storage</t>
  </si>
  <si>
    <t xml:space="preserve">   Initial earthwork (leveling, fill, etc.)</t>
  </si>
  <si>
    <t xml:space="preserve">   Final grading &amp; drainage</t>
  </si>
  <si>
    <t xml:space="preserve">   Landscaping (top soil, seeding, planting, etc.)</t>
  </si>
  <si>
    <t xml:space="preserve">   Perimeter fencing (chain link)</t>
  </si>
  <si>
    <t xml:space="preserve">   Construction labor</t>
  </si>
  <si>
    <t>Animal and Semen Collection Area</t>
  </si>
  <si>
    <t xml:space="preserve">   Concrete (foundation, floors, walls, manure pit, etc.)</t>
  </si>
  <si>
    <t xml:space="preserve">   Roofing</t>
  </si>
  <si>
    <t xml:space="preserve">   Ceiling</t>
  </si>
  <si>
    <t xml:space="preserve">   Walls, doors and windows</t>
  </si>
  <si>
    <t xml:space="preserve">   Electrical equipment</t>
  </si>
  <si>
    <t xml:space="preserve">   Ventilation system</t>
  </si>
  <si>
    <t xml:space="preserve">   Insulation &amp; vapor barrier</t>
  </si>
  <si>
    <t xml:space="preserve">   Heating system</t>
  </si>
  <si>
    <t xml:space="preserve">   Cooling system</t>
  </si>
  <si>
    <t xml:space="preserve">   Penning &amp; gating</t>
  </si>
  <si>
    <t xml:space="preserve">   Watering system</t>
  </si>
  <si>
    <t xml:space="preserve">   Feeding system</t>
  </si>
  <si>
    <t xml:space="preserve">   Alarms for temperature</t>
  </si>
  <si>
    <t xml:space="preserve">   Automated semen delivery system</t>
  </si>
  <si>
    <t xml:space="preserve">   Loading/unloading chute</t>
  </si>
  <si>
    <t>Laboratory, Office, Break Room, and Storage Area</t>
  </si>
  <si>
    <t xml:space="preserve">   Concrete (foundation, floors, etc.)</t>
  </si>
  <si>
    <t xml:space="preserve">   Water heater</t>
  </si>
  <si>
    <t xml:space="preserve">   Clothes washer</t>
  </si>
  <si>
    <t xml:space="preserve">   Clothes dryer</t>
  </si>
  <si>
    <t xml:space="preserve">   Cupboards &amp; cabinets</t>
  </si>
  <si>
    <t xml:space="preserve">   Plumbing</t>
  </si>
  <si>
    <t xml:space="preserve">   Electrical</t>
  </si>
  <si>
    <t xml:space="preserve">   Refrigerator</t>
  </si>
  <si>
    <t xml:space="preserve">   Rangetop</t>
  </si>
  <si>
    <t xml:space="preserve">   Office furnishings</t>
  </si>
  <si>
    <t xml:space="preserve">   Breakroom furnishings</t>
  </si>
  <si>
    <t xml:space="preserve">   Septic system</t>
  </si>
  <si>
    <t xml:space="preserve">   Shower &amp; restroom furnishings</t>
  </si>
  <si>
    <t xml:space="preserve">           Input values</t>
  </si>
  <si>
    <t>Useful life span of structure, years</t>
  </si>
  <si>
    <t>Percent of construction cost financed</t>
  </si>
  <si>
    <t>Interest rate, %</t>
  </si>
  <si>
    <t>Number of payment periods for the loan</t>
  </si>
  <si>
    <t>Yearly taxes (% of total investment)</t>
  </si>
  <si>
    <t>Yearly insurance (% of total investment)</t>
  </si>
  <si>
    <t xml:space="preserve">           Calculated values</t>
  </si>
  <si>
    <t>Total amount borrowed</t>
  </si>
  <si>
    <t>Amortized principal and interest payment per year</t>
  </si>
  <si>
    <t>Nonfinanced dollars spread over useful life span of structure</t>
  </si>
  <si>
    <t>Taxes and insurance (yearly cost)</t>
  </si>
  <si>
    <t>Estimated Cost of Boar Feed</t>
  </si>
  <si>
    <t xml:space="preserve">            Input values for:</t>
  </si>
  <si>
    <t>AI boar feed (lbs/head/day)</t>
  </si>
  <si>
    <t>AI boar feed cost ($/lb)</t>
  </si>
  <si>
    <t xml:space="preserve">            Calculated values</t>
  </si>
  <si>
    <t>Pounds of AI boar feed</t>
  </si>
  <si>
    <t>Cost of AI boar feed, $</t>
  </si>
  <si>
    <t>Estimated Cost of Labor in Boar Stud</t>
  </si>
  <si>
    <t>Labor for animal husbandry (min/boar/day)</t>
  </si>
  <si>
    <t>Labor to collect boars (min/collection)</t>
  </si>
  <si>
    <t>Labor to process semen (min/collection)</t>
  </si>
  <si>
    <t>Labor to clean laboratory (min/day of use)</t>
  </si>
  <si>
    <t>Number of groups bred per period of analysis</t>
  </si>
  <si>
    <t>Total number of collections per week (group bred)</t>
  </si>
  <si>
    <t>Total doses of semen during period of analysis</t>
  </si>
  <si>
    <t>Cost of labor to collect boars</t>
  </si>
  <si>
    <t>Cost of labor to process semen</t>
  </si>
  <si>
    <t>Cost of labor to clean laboratory</t>
  </si>
  <si>
    <t>Useful life-span of boars, months</t>
  </si>
  <si>
    <t>Average price of AI boars</t>
  </si>
  <si>
    <t>Cull value of boars</t>
  </si>
  <si>
    <t>Total cost of AI boars (minus cull value)</t>
  </si>
  <si>
    <t>Number of Farrowing Units (calculated value)</t>
  </si>
  <si>
    <t>AI boar cost during period of analysis</t>
  </si>
  <si>
    <t>Cost of Maintaining Heat-Check Boars</t>
  </si>
  <si>
    <t>Average price of heat-check boars</t>
  </si>
  <si>
    <t>Heat-check boar feed (lbs/head/day)</t>
  </si>
  <si>
    <t>Heat-check boar feed cost ($/lb)</t>
  </si>
  <si>
    <t>Cull value of heat-check boars</t>
  </si>
  <si>
    <t>Total cost per dose of semen</t>
  </si>
  <si>
    <t>Fee-For-Service Semen may improve reproductive performance</t>
  </si>
  <si>
    <t>due to an improvement in semen quality</t>
  </si>
  <si>
    <t>Template developed by D. G. Levis, University of Nebraska (May 8, 1999)</t>
  </si>
  <si>
    <t>Cost of heat-check boar housing, $/day</t>
  </si>
  <si>
    <t>Cost of heat-check boars (minus cull value)</t>
  </si>
  <si>
    <t>Cost of heat-check boar feed</t>
  </si>
  <si>
    <t>Cost of heat-check boar housing</t>
  </si>
  <si>
    <t xml:space="preserve">           Calculated values for:</t>
  </si>
  <si>
    <t>Isolation Facility</t>
  </si>
  <si>
    <t>Labor for care of animals</t>
  </si>
  <si>
    <t>Labor for training boars to mount dummy</t>
  </si>
  <si>
    <t>Feed cost</t>
  </si>
  <si>
    <t>Longest Lactation Length, days</t>
  </si>
  <si>
    <t>Boar housing cost</t>
  </si>
  <si>
    <t>Veterinary fees</t>
  </si>
  <si>
    <t>Boar Stud Facility</t>
  </si>
  <si>
    <t>Construction costs</t>
  </si>
  <si>
    <t>Cost of nonconsumable AI equipment</t>
  </si>
  <si>
    <t>Cost of AI boar feed</t>
  </si>
  <si>
    <t>Cost of consumable AI equipment</t>
  </si>
  <si>
    <t>Total number of doses</t>
  </si>
  <si>
    <t>Number of females bred</t>
  </si>
  <si>
    <t>Total number of pigs weaned</t>
  </si>
  <si>
    <t>Gross income for slaughter pigs</t>
  </si>
  <si>
    <t>Gross income minus AI cost</t>
  </si>
  <si>
    <t>Cost per female bred</t>
  </si>
  <si>
    <t>Cost per pig weaned</t>
  </si>
  <si>
    <t>Cost per slaughter pig</t>
  </si>
  <si>
    <t>Total:</t>
  </si>
  <si>
    <t>Useful</t>
  </si>
  <si>
    <t>Life</t>
  </si>
  <si>
    <r>
      <t xml:space="preserve">Number of </t>
    </r>
    <r>
      <rPr>
        <b/>
        <i/>
        <sz val="10"/>
        <rFont val="Arial"/>
        <family val="2"/>
      </rPr>
      <t>productive</t>
    </r>
    <r>
      <rPr>
        <sz val="10"/>
        <rFont val="Arial"/>
        <family val="2"/>
      </rPr>
      <t xml:space="preserve"> groups of sows (rounded down)</t>
    </r>
  </si>
  <si>
    <r>
      <t>Number of Females Served by</t>
    </r>
    <r>
      <rPr>
        <b/>
        <sz val="10"/>
        <rFont val="Arial"/>
        <family val="2"/>
      </rPr>
      <t xml:space="preserve"> Boars</t>
    </r>
    <r>
      <rPr>
        <sz val="10"/>
        <rFont val="Arial"/>
        <family val="0"/>
      </rPr>
      <t xml:space="preserve"> Per Unit of Time</t>
    </r>
  </si>
  <si>
    <t>(Years)</t>
  </si>
  <si>
    <t>(years)</t>
  </si>
  <si>
    <t>% Used</t>
  </si>
  <si>
    <t>Years</t>
  </si>
  <si>
    <t>Subtotal:</t>
  </si>
  <si>
    <t>Quantity</t>
  </si>
  <si>
    <t>per unit</t>
  </si>
  <si>
    <t>sold</t>
  </si>
  <si>
    <t>Subtotal</t>
  </si>
  <si>
    <t>TOTAL</t>
  </si>
  <si>
    <t>Farm A</t>
  </si>
  <si>
    <t>Price</t>
  </si>
  <si>
    <t>sold, $</t>
  </si>
  <si>
    <t>$ Amount</t>
  </si>
  <si>
    <t>Hours of</t>
  </si>
  <si>
    <t>labor</t>
  </si>
  <si>
    <t>for</t>
  </si>
  <si>
    <t>period</t>
  </si>
  <si>
    <t>Total cost</t>
  </si>
  <si>
    <t>Labor for training boars to mount dummy (total hours/boar)</t>
  </si>
  <si>
    <t>Semen Extension (Equipment &amp; Supplies)</t>
  </si>
  <si>
    <t xml:space="preserve">     Total volume of extended semen/dose,mL</t>
  </si>
  <si>
    <t>Semen Packaging (Equipment &amp; Supplies)</t>
  </si>
  <si>
    <t>Insemination of females (Equipment &amp; Supplies)</t>
  </si>
  <si>
    <t>Summary of Costs</t>
  </si>
  <si>
    <t>Initial cost of nonconsumables:</t>
  </si>
  <si>
    <t>Cost during period of analysis:</t>
  </si>
  <si>
    <t xml:space="preserve">   Nonconsumables:</t>
  </si>
  <si>
    <t xml:space="preserve">   Consumables:</t>
  </si>
  <si>
    <t>Input values</t>
  </si>
  <si>
    <t>Estimated total cost</t>
  </si>
  <si>
    <t>Calculated values</t>
  </si>
  <si>
    <t>Input values for:</t>
  </si>
  <si>
    <t>AI boar feed (Avg lbs/head/day)</t>
  </si>
  <si>
    <t>Number of times per week (group) laboratory is used</t>
  </si>
  <si>
    <t>Cost for animal husbandry labor, $</t>
  </si>
  <si>
    <t>Cost for semen collection labor, $</t>
  </si>
  <si>
    <t>Cost for semen processing, $</t>
  </si>
  <si>
    <t>Cost for cleaning laboratory, $</t>
  </si>
  <si>
    <t>Calculated values for:</t>
  </si>
  <si>
    <t>Labor for care of animals in isolation</t>
  </si>
  <si>
    <t>Cost for nonconsumable AI equipment</t>
  </si>
  <si>
    <t>Cost for animal husbandry labor</t>
  </si>
  <si>
    <t>Total "Fixed" Cost per period of analysis:</t>
  </si>
  <si>
    <t>Total of "variable" costs:</t>
  </si>
  <si>
    <t>Number of boars in stud</t>
  </si>
  <si>
    <t>Production values for:</t>
  </si>
  <si>
    <t>Influence of improved farrowing rate &amp; litter size born live</t>
  </si>
  <si>
    <t>Row 77</t>
  </si>
  <si>
    <t>Doses in third delivery</t>
  </si>
  <si>
    <t>Farrowing rate for on-farm semen, % (Entered by computer from Production Sheet)</t>
  </si>
  <si>
    <t>Average Number of Pigs Born Live per Litter</t>
  </si>
  <si>
    <t xml:space="preserve">    Early weaned/problem sows before pigs transferred out</t>
  </si>
  <si>
    <t xml:space="preserve">  Telephone number</t>
  </si>
  <si>
    <t>402/472-6445</t>
  </si>
  <si>
    <t xml:space="preserve">    Proportion of farrowing that are early weaned/problem sows</t>
  </si>
  <si>
    <t xml:space="preserve">  Farrowing rate of for entire herd, %</t>
  </si>
  <si>
    <t>Average age of piglets at weaning, days</t>
  </si>
  <si>
    <t>Initial cost of breeding/gestation for sows</t>
  </si>
  <si>
    <t>Cost of boar feed</t>
  </si>
  <si>
    <t>Total cost of feed for boars</t>
  </si>
  <si>
    <t xml:space="preserve">  Construction cost (AI boars), $/space</t>
  </si>
  <si>
    <t xml:space="preserve">  Total number of AI boars in building</t>
  </si>
  <si>
    <t xml:space="preserve">  Construction cost (Heat-check boars), $/space</t>
  </si>
  <si>
    <t xml:space="preserve">  Total number of heat-check boars in building</t>
  </si>
  <si>
    <t>Initial cost of boar facility</t>
  </si>
  <si>
    <t>FeeForService</t>
  </si>
  <si>
    <t>If Fee-For-Service semen results in better reproductive performance</t>
  </si>
  <si>
    <t>Page 1-SM</t>
  </si>
  <si>
    <t xml:space="preserve">   Total pounds of feed</t>
  </si>
  <si>
    <t xml:space="preserve">   Feed efficiency</t>
  </si>
  <si>
    <t>Carcass premium</t>
  </si>
  <si>
    <t>Total Number of Pigs BORN LIVE per Group</t>
  </si>
  <si>
    <t>Avg number of PIGS BORN LIVE/Sow Farrowed/Group</t>
  </si>
  <si>
    <t>Total Number of PIGS WEANED Per Group</t>
  </si>
  <si>
    <t>AI semen cost per service (dose)</t>
  </si>
  <si>
    <t>#Cost for overnight freight per delivery, $</t>
  </si>
  <si>
    <t xml:space="preserve">  Average weight of replacement gilts at entry, lbs</t>
  </si>
  <si>
    <t>Semen</t>
  </si>
  <si>
    <t>Cooperative</t>
  </si>
  <si>
    <t>Fee-For-Service</t>
  </si>
  <si>
    <t>Avg number of females on inventory without gilts in isolation</t>
  </si>
  <si>
    <t>Number of pigs born live per litter from on-farm semen (Entered by computer from Production Sheet)</t>
  </si>
  <si>
    <t>If commercial semen results in better reproductive performance, feed efficiency and carcass quality</t>
  </si>
  <si>
    <t>Gross income minus feed and AI cost</t>
  </si>
  <si>
    <t>Improved "only" farrowing rate (Gross income minus AI cost)</t>
  </si>
  <si>
    <t>Improved "only" litter size (Gross income minus AI cost)</t>
  </si>
  <si>
    <t>Improved "only" carcass quality (Gross income minus AI cost)</t>
  </si>
  <si>
    <t>Improved "both"  farrowing rate and litter size (Gross income minus AI cost)</t>
  </si>
  <si>
    <t>Improved FR, LS, FE and carcass quality (Gross income minus AI and feed cost)</t>
  </si>
  <si>
    <t>Improved "only" farrowing rate [FR] (Gross income minus AI cost)</t>
  </si>
  <si>
    <t>Improved "only" litter size [LS] (Gross income minus AI cost)</t>
  </si>
  <si>
    <t>Improved "only" feed efficiency [FE] (Gross income minus AI and feed cost)</t>
  </si>
  <si>
    <t>Price received at slaughter, $/lb of live weight</t>
  </si>
  <si>
    <t>Average premium for carcass, ($ per head)</t>
  </si>
  <si>
    <t>Improved "both" farrowing rate and litter size (Gross income minus AI cost)</t>
  </si>
  <si>
    <t>Gross income (without carcass value)</t>
  </si>
  <si>
    <t>All factors are the same except cost of semen</t>
  </si>
  <si>
    <t>Number of boars (isolation unit for all participants)</t>
  </si>
  <si>
    <t>Income after deducting:</t>
  </si>
  <si>
    <t xml:space="preserve">   Cost of replacement gilts</t>
  </si>
  <si>
    <t xml:space="preserve">   Cost of feed for breeding herd</t>
  </si>
  <si>
    <t xml:space="preserve">   Cost of semen</t>
  </si>
  <si>
    <t xml:space="preserve">   Cost of labor</t>
  </si>
  <si>
    <t xml:space="preserve">   Cost of utilities</t>
  </si>
  <si>
    <t xml:space="preserve">   Cost of veterinary &amp; medicine</t>
  </si>
  <si>
    <t xml:space="preserve">   Cost of operating loan</t>
  </si>
  <si>
    <t xml:space="preserve">   Cost of building payment</t>
  </si>
  <si>
    <t xml:space="preserve">   Cost of taxes &amp; insurance</t>
  </si>
  <si>
    <t>Effect of price of pigs on profit margin</t>
  </si>
  <si>
    <t>Number of boar spaces (entered by computer from Production Sheet)</t>
  </si>
  <si>
    <t>Data Entered by Computer from Production Sheet (Column C)</t>
  </si>
  <si>
    <t xml:space="preserve">Data Entered by Computer from Production Sheet (Column B) </t>
  </si>
  <si>
    <t xml:space="preserve">     Adjustable pipette</t>
  </si>
  <si>
    <t>Cost of animal husbandry labor</t>
  </si>
  <si>
    <t>Calculated output values</t>
  </si>
  <si>
    <t>Calculated Costs</t>
  </si>
  <si>
    <t>Total number of months boars are in stud</t>
  </si>
  <si>
    <t>Estimated Cost to Construct a Cooperative Boar Stud</t>
  </si>
  <si>
    <t>Minimum Cost to Produce Semen from Cooperative Stud</t>
  </si>
  <si>
    <t>Row 78</t>
  </si>
  <si>
    <t>Row 79</t>
  </si>
  <si>
    <t>Row 80</t>
  </si>
  <si>
    <t>Row 81</t>
  </si>
  <si>
    <t>Row 82</t>
  </si>
  <si>
    <t>Row 83</t>
  </si>
  <si>
    <t>Row 84</t>
  </si>
  <si>
    <t>Average number of times each boar is collected per week</t>
  </si>
  <si>
    <t>(Without AI Equipment or Isolation Unit)</t>
  </si>
  <si>
    <t>Template developed by D. G. Levis, University of Nebraska (May 4, 1999)</t>
  </si>
  <si>
    <t>Row 85</t>
  </si>
  <si>
    <t>Row 86</t>
  </si>
  <si>
    <t>Row 87</t>
  </si>
  <si>
    <t>Row 88</t>
  </si>
  <si>
    <t>Row 89</t>
  </si>
  <si>
    <t>Row 90</t>
  </si>
  <si>
    <t>Row 91</t>
  </si>
  <si>
    <t>Row 92</t>
  </si>
  <si>
    <t xml:space="preserve">                      Summary of Input and Output Data</t>
  </si>
  <si>
    <t>Total number of groups bred during period of analysis</t>
  </si>
  <si>
    <t>Number of females bred per group</t>
  </si>
  <si>
    <t>Total number of doses during period of analysis</t>
  </si>
  <si>
    <t>Total number of  females bred during period of analysis</t>
  </si>
  <si>
    <t>Total number of pigs weaned during period of analysis</t>
  </si>
  <si>
    <t>Total number of slaughter pigs during period of analysis</t>
  </si>
  <si>
    <t>Minimum Cost for Delivery of Semen to Farm</t>
  </si>
  <si>
    <t>Number of times semen is delivered per week (group)</t>
  </si>
  <si>
    <t>Cost per mile for vehicle</t>
  </si>
  <si>
    <t>Labor cost for driver ($/mile)</t>
  </si>
  <si>
    <t>Total delivery cost per group bred</t>
  </si>
  <si>
    <t>Total delivery cost during period of analysis</t>
  </si>
  <si>
    <t>Number of doses delivered during period of analysis</t>
  </si>
  <si>
    <t>Delivery cost per dose of semen</t>
  </si>
  <si>
    <t>Purchase Cost of AI Boars per Dose of Semen</t>
  </si>
  <si>
    <t>Cull value of each boar</t>
  </si>
  <si>
    <t>Doses of semen produced during period of analysis</t>
  </si>
  <si>
    <t>Total pounds of live animals sold (SEW pigs)</t>
  </si>
  <si>
    <t>Cost of AI boars per dose of semen</t>
  </si>
  <si>
    <t>Heat-check boar feed (Avg lbs/head/day)</t>
  </si>
  <si>
    <t>Heat-check boar feed during period of analysis, lbs</t>
  </si>
  <si>
    <t>Total number of doses of semen</t>
  </si>
  <si>
    <t>Cost of heat-check boar feed during period of analysis</t>
  </si>
  <si>
    <t>Cost of heat-check boar housing during period of analysis</t>
  </si>
  <si>
    <t>Cost of heat-check boars per dose of semen</t>
  </si>
  <si>
    <t>Total Cost per Dose of Semen</t>
  </si>
  <si>
    <t>Total number of females bred</t>
  </si>
  <si>
    <t>Total doses of semen purchased</t>
  </si>
  <si>
    <t>Total cost of semen</t>
  </si>
  <si>
    <t>Gross income from slaughter pigs</t>
  </si>
  <si>
    <t>Cost per slaughter pig sold</t>
  </si>
  <si>
    <t>Period</t>
  </si>
  <si>
    <t>Input Data</t>
  </si>
  <si>
    <t>Average number of pigs born alive per litter</t>
  </si>
  <si>
    <t>Average number of pigs born alive per group</t>
  </si>
  <si>
    <t>#Number of farrowing crates per group of sows#</t>
  </si>
  <si>
    <t>Average number of pigs weaned per group of sows</t>
  </si>
  <si>
    <t>Entry fee (one time fee to reserve one boar space)</t>
  </si>
  <si>
    <t>Annual renewal to reserve one boar space</t>
  </si>
  <si>
    <t>Estimated number of productive months per boar</t>
  </si>
  <si>
    <t>Monetary value at culling per boar</t>
  </si>
  <si>
    <t>Round trip delivery mileage</t>
  </si>
  <si>
    <t>Number of times each boar is collected per week</t>
  </si>
  <si>
    <t>Proportion of collections discarded for semen quality</t>
  </si>
  <si>
    <t xml:space="preserve">Proportion of  weekly doses in first delivery </t>
  </si>
  <si>
    <t>Proportion of weekly doses in second delivery</t>
  </si>
  <si>
    <t>Proportion of weekly doses in third delivery</t>
  </si>
  <si>
    <t>Isolation fees are based on number of boars</t>
  </si>
  <si>
    <t>Number of boars in isolation</t>
  </si>
  <si>
    <t>Labor for care of animals (hrs/day/boar)</t>
  </si>
  <si>
    <t>Labor (training boars, hrs/day/boar)</t>
  </si>
  <si>
    <t>Number of days spent training boars</t>
  </si>
  <si>
    <t>Projected number of usable doses of semen per month from boars</t>
  </si>
  <si>
    <t>Boar</t>
  </si>
  <si>
    <t>Week 1</t>
  </si>
  <si>
    <t>Week 2</t>
  </si>
  <si>
    <t>Week 3</t>
  </si>
  <si>
    <t>Week 4</t>
  </si>
  <si>
    <t>Boar stud fees are based on number of doses per boar per month:</t>
  </si>
  <si>
    <t>Minimum doses</t>
  </si>
  <si>
    <t>Maximum doses</t>
  </si>
  <si>
    <t>Monthly Fee for taking care of boars</t>
  </si>
  <si>
    <t>Fee per dose prepared</t>
  </si>
  <si>
    <t xml:space="preserve">Round trip delivery fee ($ per mile) </t>
  </si>
  <si>
    <t>Isolation charges</t>
  </si>
  <si>
    <t xml:space="preserve">Boar Stud Facility </t>
  </si>
  <si>
    <t>Minimum number of doses needed per week</t>
  </si>
  <si>
    <t>Input data for market pigs (entered by computer from OnFarmStud sheet, Column E)</t>
  </si>
  <si>
    <t>Average number of doses per boar per week</t>
  </si>
  <si>
    <t xml:space="preserve">Number of times each boar is collected per week </t>
  </si>
  <si>
    <t>Average number of doses per collection</t>
  </si>
  <si>
    <t>Number of collections needed per week</t>
  </si>
  <si>
    <t>Number of boars needed</t>
  </si>
  <si>
    <t>Is there an adequate number of boars in stud?</t>
  </si>
  <si>
    <t>Total doses of usable semen produced per week</t>
  </si>
  <si>
    <t>Is there an adequate number of doses per week (group)?</t>
  </si>
  <si>
    <t>Average doses of semen per month</t>
  </si>
  <si>
    <t>Total doses of semen produced per period of analysis</t>
  </si>
  <si>
    <t>Total monthly fee for taking care of all boars</t>
  </si>
  <si>
    <t>Total monthly fee for preparing doses of semen</t>
  </si>
  <si>
    <t>Doses in first delivery</t>
  </si>
  <si>
    <t>Doses in second delivery</t>
  </si>
  <si>
    <t>Total delivery fee per group bred</t>
  </si>
  <si>
    <t>Cost of Semen for Period Analyzed</t>
  </si>
  <si>
    <t>Isolation cost</t>
  </si>
  <si>
    <t>Influence of "only" improving farrowing rate</t>
  </si>
  <si>
    <t>Influence of "only" improving litter size born live</t>
  </si>
  <si>
    <t>Influence of "only" improving feed efficiency</t>
  </si>
  <si>
    <t>Influence of "only" improving carcass traits</t>
  </si>
  <si>
    <t>Influence of improving farrowing rate, litter size,</t>
  </si>
  <si>
    <t>feed efficiency and carcass traits</t>
  </si>
  <si>
    <t>Number of females farrowed per period of analysis</t>
  </si>
  <si>
    <t>Average number of pigs weaned per group</t>
  </si>
  <si>
    <t>Purchase value of boars (minus cull value)</t>
  </si>
  <si>
    <t>Collection and processing of semen</t>
  </si>
  <si>
    <t>Care of boars</t>
  </si>
  <si>
    <t>Delivery of semen</t>
  </si>
  <si>
    <t>Number of sows bred</t>
  </si>
  <si>
    <t>Number of pigs weaned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</si>
</sst>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&quot;$&quot;#,##0.0000_);\(&quot;$&quot;#,##0.0000\)"/>
    <numFmt numFmtId="168" formatCode="&quot;$&quot;#,##0.000_);\(&quot;$&quot;#,##0.000\)"/>
    <numFmt numFmtId="169" formatCode="0.000"/>
    <numFmt numFmtId="170" formatCode="mmmm\ d\,\ yyyy"/>
    <numFmt numFmtId="171" formatCode="&quot;$&quot;#,##0"/>
    <numFmt numFmtId="172" formatCode="00000"/>
    <numFmt numFmtId="173" formatCode="&quot;$&quot;#,##0.00"/>
    <numFmt numFmtId="174" formatCode="&quot;$&quot;#,##0.0"/>
    <numFmt numFmtId="175" formatCode="#,##0.0_);\(#,##0.0\)"/>
    <numFmt numFmtId="176" formatCode="#,##0.000"/>
    <numFmt numFmtId="177" formatCode="0.0000"/>
    <numFmt numFmtId="178" formatCode="#,##0.0000"/>
    <numFmt numFmtId="179" formatCode="&quot;$&quot;#,##0.0000"/>
    <numFmt numFmtId="180" formatCode="#,##0;[Red]#,##0"/>
    <numFmt numFmtId="181" formatCode="0;[Red]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9"/>
      </patternFill>
    </fill>
    <fill>
      <patternFill patternType="light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  <bgColor indexed="9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09">
    <xf numFmtId="0" fontId="0" fillId="0" borderId="0" xfId="0" applyAlignment="1">
      <alignment/>
    </xf>
    <xf numFmtId="0" fontId="5" fillId="0" borderId="0" xfId="23" applyFont="1" applyAlignment="1">
      <alignment/>
    </xf>
    <xf numFmtId="0" fontId="0" fillId="0" borderId="0" xfId="23" applyFont="1" applyAlignment="1">
      <alignment horizontal="right"/>
    </xf>
    <xf numFmtId="0" fontId="0" fillId="2" borderId="0" xfId="23" applyFont="1" applyFill="1" applyAlignment="1">
      <alignment/>
    </xf>
    <xf numFmtId="0" fontId="1" fillId="0" borderId="0" xfId="23" applyFont="1" applyAlignment="1">
      <alignment/>
    </xf>
    <xf numFmtId="1" fontId="0" fillId="0" borderId="0" xfId="23" applyNumberFormat="1" applyFont="1" applyAlignment="1">
      <alignment/>
    </xf>
    <xf numFmtId="1" fontId="1" fillId="0" borderId="0" xfId="23" applyNumberFormat="1" applyFont="1" applyAlignment="1">
      <alignment/>
    </xf>
    <xf numFmtId="165" fontId="1" fillId="0" borderId="0" xfId="23" applyNumberFormat="1" applyFont="1" applyAlignment="1">
      <alignment/>
    </xf>
    <xf numFmtId="0" fontId="0" fillId="0" borderId="0" xfId="23" applyFont="1" applyAlignment="1" applyProtection="1">
      <alignment/>
      <protection locked="0"/>
    </xf>
    <xf numFmtId="2" fontId="0" fillId="0" borderId="0" xfId="23" applyNumberFormat="1" applyFont="1" applyAlignment="1">
      <alignment/>
    </xf>
    <xf numFmtId="9" fontId="0" fillId="0" borderId="0" xfId="23" applyNumberFormat="1" applyFont="1" applyAlignment="1" applyProtection="1">
      <alignment/>
      <protection locked="0"/>
    </xf>
    <xf numFmtId="0" fontId="1" fillId="0" borderId="0" xfId="23" applyFont="1" applyAlignment="1">
      <alignment horizontal="right"/>
    </xf>
    <xf numFmtId="9" fontId="0" fillId="0" borderId="0" xfId="23" applyNumberFormat="1" applyFont="1" applyAlignment="1" applyProtection="1">
      <alignment horizontal="right"/>
      <protection locked="0"/>
    </xf>
    <xf numFmtId="0" fontId="0" fillId="0" borderId="0" xfId="23" applyFont="1" applyAlignment="1">
      <alignment horizontal="center"/>
    </xf>
    <xf numFmtId="0" fontId="0" fillId="3" borderId="0" xfId="23" applyFont="1" applyFill="1" applyAlignment="1">
      <alignment horizontal="center"/>
    </xf>
    <xf numFmtId="1" fontId="0" fillId="0" borderId="0" xfId="23" applyNumberFormat="1" applyFont="1" applyAlignment="1">
      <alignment horizontal="center"/>
    </xf>
    <xf numFmtId="0" fontId="0" fillId="0" borderId="0" xfId="23" applyFont="1" applyAlignment="1" applyProtection="1">
      <alignment horizontal="center"/>
      <protection locked="0"/>
    </xf>
    <xf numFmtId="1" fontId="0" fillId="3" borderId="0" xfId="23" applyNumberFormat="1" applyFont="1" applyFill="1" applyAlignment="1">
      <alignment horizontal="center"/>
    </xf>
    <xf numFmtId="7" fontId="0" fillId="3" borderId="0" xfId="23" applyNumberFormat="1" applyFont="1" applyFill="1" applyAlignment="1">
      <alignment horizontal="center"/>
    </xf>
    <xf numFmtId="7" fontId="0" fillId="0" borderId="0" xfId="23" applyNumberFormat="1" applyFont="1" applyAlignment="1">
      <alignment horizontal="center"/>
    </xf>
    <xf numFmtId="7" fontId="0" fillId="0" borderId="0" xfId="23" applyNumberFormat="1" applyFont="1" applyAlignment="1">
      <alignment/>
    </xf>
    <xf numFmtId="0" fontId="1" fillId="0" borderId="0" xfId="23" applyFont="1" applyAlignment="1">
      <alignment horizontal="center"/>
    </xf>
    <xf numFmtId="7" fontId="1" fillId="0" borderId="0" xfId="23" applyNumberFormat="1" applyFont="1" applyAlignment="1">
      <alignment horizontal="center"/>
    </xf>
    <xf numFmtId="0" fontId="0" fillId="4" borderId="0" xfId="23" applyFont="1" applyFill="1" applyAlignment="1">
      <alignment/>
    </xf>
    <xf numFmtId="7" fontId="0" fillId="4" borderId="0" xfId="23" applyNumberFormat="1" applyFont="1" applyFill="1" applyAlignment="1">
      <alignment horizontal="center"/>
    </xf>
    <xf numFmtId="0" fontId="0" fillId="4" borderId="0" xfId="23" applyFont="1" applyFill="1" applyAlignment="1">
      <alignment horizontal="center"/>
    </xf>
    <xf numFmtId="0" fontId="0" fillId="3" borderId="0" xfId="23" applyFont="1" applyFill="1" applyAlignment="1">
      <alignment/>
    </xf>
    <xf numFmtId="5" fontId="0" fillId="0" borderId="0" xfId="23" applyNumberFormat="1" applyFont="1" applyAlignment="1">
      <alignment horizontal="center"/>
    </xf>
    <xf numFmtId="5" fontId="1" fillId="0" borderId="0" xfId="23" applyNumberFormat="1" applyFont="1" applyAlignment="1">
      <alignment horizontal="center"/>
    </xf>
    <xf numFmtId="5" fontId="0" fillId="3" borderId="0" xfId="23" applyNumberFormat="1" applyFont="1" applyFill="1" applyAlignment="1">
      <alignment horizontal="center"/>
    </xf>
    <xf numFmtId="5" fontId="0" fillId="0" borderId="0" xfId="23" applyNumberFormat="1" applyFont="1" applyAlignment="1">
      <alignment horizontal="right"/>
    </xf>
    <xf numFmtId="0" fontId="6" fillId="0" borderId="0" xfId="23" applyFont="1" applyAlignment="1">
      <alignment/>
    </xf>
    <xf numFmtId="0" fontId="1" fillId="3" borderId="0" xfId="23" applyFont="1" applyFill="1" applyAlignment="1">
      <alignment horizontal="center"/>
    </xf>
    <xf numFmtId="0" fontId="1" fillId="3" borderId="0" xfId="23" applyFont="1" applyFill="1" applyAlignment="1">
      <alignment/>
    </xf>
    <xf numFmtId="0" fontId="0" fillId="5" borderId="0" xfId="23" applyFont="1" applyFill="1" applyAlignment="1">
      <alignment horizontal="center"/>
    </xf>
    <xf numFmtId="0" fontId="0" fillId="6" borderId="0" xfId="23" applyFont="1" applyFill="1" applyAlignment="1">
      <alignment horizontal="center"/>
    </xf>
    <xf numFmtId="0" fontId="0" fillId="5" borderId="0" xfId="23" applyFont="1" applyFill="1" applyAlignment="1">
      <alignment/>
    </xf>
    <xf numFmtId="0" fontId="7" fillId="0" borderId="0" xfId="23" applyFont="1" applyAlignment="1">
      <alignment/>
    </xf>
    <xf numFmtId="0" fontId="3" fillId="0" borderId="0" xfId="23" applyFont="1" applyAlignment="1">
      <alignment/>
    </xf>
    <xf numFmtId="166" fontId="0" fillId="0" borderId="0" xfId="23" applyNumberFormat="1" applyFont="1" applyAlignment="1">
      <alignment horizontal="center"/>
    </xf>
    <xf numFmtId="2" fontId="0" fillId="0" borderId="0" xfId="23" applyNumberFormat="1" applyFont="1" applyAlignment="1">
      <alignment horizontal="center"/>
    </xf>
    <xf numFmtId="165" fontId="0" fillId="0" borderId="0" xfId="23" applyNumberFormat="1" applyFont="1" applyAlignment="1">
      <alignment horizontal="center"/>
    </xf>
    <xf numFmtId="168" fontId="0" fillId="0" borderId="0" xfId="23" applyNumberFormat="1" applyFont="1" applyAlignment="1">
      <alignment horizontal="center"/>
    </xf>
    <xf numFmtId="0" fontId="0" fillId="2" borderId="0" xfId="23" applyFont="1" applyFill="1" applyAlignment="1">
      <alignment horizontal="center"/>
    </xf>
    <xf numFmtId="1" fontId="1" fillId="0" borderId="0" xfId="23" applyNumberFormat="1" applyFont="1" applyAlignment="1">
      <alignment horizontal="center"/>
    </xf>
    <xf numFmtId="0" fontId="2" fillId="0" borderId="0" xfId="23" applyFont="1" applyAlignment="1">
      <alignment horizontal="center"/>
    </xf>
    <xf numFmtId="2" fontId="1" fillId="0" borderId="0" xfId="23" applyNumberFormat="1" applyFont="1" applyAlignment="1">
      <alignment horizontal="center"/>
    </xf>
    <xf numFmtId="165" fontId="0" fillId="3" borderId="0" xfId="23" applyNumberFormat="1" applyFont="1" applyFill="1" applyAlignment="1">
      <alignment horizontal="center"/>
    </xf>
    <xf numFmtId="0" fontId="0" fillId="4" borderId="0" xfId="23" applyFont="1" applyFill="1" applyAlignment="1">
      <alignment horizontal="right"/>
    </xf>
    <xf numFmtId="5" fontId="1" fillId="4" borderId="0" xfId="23" applyNumberFormat="1" applyFont="1" applyFill="1" applyAlignment="1">
      <alignment horizontal="center"/>
    </xf>
    <xf numFmtId="0" fontId="0" fillId="7" borderId="0" xfId="23" applyFont="1" applyFill="1" applyAlignment="1">
      <alignment/>
    </xf>
    <xf numFmtId="0" fontId="5" fillId="3" borderId="0" xfId="23" applyFont="1" applyFill="1" applyAlignment="1">
      <alignment/>
    </xf>
    <xf numFmtId="167" fontId="0" fillId="0" borderId="0" xfId="23" applyNumberFormat="1" applyFont="1" applyAlignment="1">
      <alignment horizontal="center"/>
    </xf>
    <xf numFmtId="10" fontId="0" fillId="0" borderId="0" xfId="23" applyNumberFormat="1" applyFont="1" applyAlignment="1">
      <alignment horizontal="center"/>
    </xf>
    <xf numFmtId="0" fontId="0" fillId="0" borderId="0" xfId="23" applyFont="1" applyAlignment="1">
      <alignment horizontal="left"/>
    </xf>
    <xf numFmtId="0" fontId="1" fillId="0" borderId="0" xfId="23" applyFont="1" applyAlignment="1">
      <alignment horizontal="left"/>
    </xf>
    <xf numFmtId="0" fontId="0" fillId="4" borderId="0" xfId="23" applyFont="1" applyFill="1" applyAlignment="1">
      <alignment horizontal="left"/>
    </xf>
    <xf numFmtId="0" fontId="1" fillId="4" borderId="0" xfId="23" applyFont="1" applyFill="1" applyAlignment="1">
      <alignment horizontal="left"/>
    </xf>
    <xf numFmtId="0" fontId="1" fillId="4" borderId="0" xfId="23" applyFont="1" applyFill="1" applyAlignment="1">
      <alignment horizontal="center"/>
    </xf>
    <xf numFmtId="0" fontId="0" fillId="4" borderId="0" xfId="23" applyFont="1" applyFill="1" applyAlignment="1" applyProtection="1">
      <alignment horizontal="center"/>
      <protection locked="0"/>
    </xf>
    <xf numFmtId="0" fontId="1" fillId="4" borderId="0" xfId="23" applyFont="1" applyFill="1" applyAlignment="1">
      <alignment/>
    </xf>
    <xf numFmtId="7" fontId="0" fillId="0" borderId="0" xfId="23" applyNumberFormat="1" applyFont="1" applyAlignment="1">
      <alignment horizontal="right"/>
    </xf>
    <xf numFmtId="0" fontId="5" fillId="0" borderId="0" xfId="23" applyFont="1" applyAlignment="1">
      <alignment horizontal="left"/>
    </xf>
    <xf numFmtId="0" fontId="3" fillId="0" borderId="0" xfId="23" applyFont="1" applyAlignment="1">
      <alignment/>
    </xf>
    <xf numFmtId="0" fontId="0" fillId="8" borderId="0" xfId="23" applyFont="1" applyFill="1" applyAlignment="1" applyProtection="1">
      <alignment horizontal="center"/>
      <protection locked="0"/>
    </xf>
    <xf numFmtId="0" fontId="1" fillId="8" borderId="0" xfId="23" applyFont="1" applyFill="1" applyAlignment="1" applyProtection="1">
      <alignment horizontal="center"/>
      <protection locked="0"/>
    </xf>
    <xf numFmtId="0" fontId="0" fillId="8" borderId="0" xfId="23" applyFont="1" applyFill="1" applyAlignment="1" applyProtection="1">
      <alignment horizontal="center"/>
      <protection locked="0"/>
    </xf>
    <xf numFmtId="2" fontId="0" fillId="8" borderId="0" xfId="23" applyNumberFormat="1" applyFont="1" applyFill="1" applyAlignment="1" applyProtection="1">
      <alignment horizontal="center"/>
      <protection locked="0"/>
    </xf>
    <xf numFmtId="10" fontId="0" fillId="8" borderId="0" xfId="23" applyNumberFormat="1" applyFont="1" applyFill="1" applyAlignment="1" applyProtection="1">
      <alignment horizontal="center"/>
      <protection locked="0"/>
    </xf>
    <xf numFmtId="10" fontId="0" fillId="9" borderId="0" xfId="23" applyNumberFormat="1" applyFont="1" applyFill="1" applyAlignment="1" applyProtection="1">
      <alignment horizontal="center"/>
      <protection locked="0"/>
    </xf>
    <xf numFmtId="1" fontId="0" fillId="8" borderId="0" xfId="23" applyNumberFormat="1" applyFont="1" applyFill="1" applyAlignment="1" applyProtection="1">
      <alignment horizontal="center"/>
      <protection locked="0"/>
    </xf>
    <xf numFmtId="165" fontId="0" fillId="8" borderId="0" xfId="23" applyNumberFormat="1" applyFont="1" applyFill="1" applyAlignment="1" applyProtection="1">
      <alignment horizontal="center"/>
      <protection locked="0"/>
    </xf>
    <xf numFmtId="166" fontId="0" fillId="8" borderId="0" xfId="23" applyNumberFormat="1" applyFont="1" applyFill="1" applyAlignment="1" applyProtection="1">
      <alignment horizontal="center"/>
      <protection locked="0"/>
    </xf>
    <xf numFmtId="9" fontId="0" fillId="8" borderId="0" xfId="23" applyNumberFormat="1" applyFont="1" applyFill="1" applyAlignment="1" applyProtection="1">
      <alignment horizontal="center"/>
      <protection locked="0"/>
    </xf>
    <xf numFmtId="0" fontId="0" fillId="9" borderId="0" xfId="23" applyFont="1" applyFill="1" applyAlignment="1" applyProtection="1">
      <alignment horizontal="center"/>
      <protection locked="0"/>
    </xf>
    <xf numFmtId="166" fontId="0" fillId="10" borderId="0" xfId="23" applyNumberFormat="1" applyFont="1" applyFill="1" applyAlignment="1" applyProtection="1">
      <alignment/>
      <protection locked="0"/>
    </xf>
    <xf numFmtId="0" fontId="0" fillId="10" borderId="0" xfId="23" applyFont="1" applyFill="1" applyAlignment="1" applyProtection="1">
      <alignment/>
      <protection locked="0"/>
    </xf>
    <xf numFmtId="7" fontId="0" fillId="8" borderId="0" xfId="23" applyNumberFormat="1" applyFont="1" applyFill="1" applyAlignment="1" applyProtection="1">
      <alignment horizontal="center"/>
      <protection locked="0"/>
    </xf>
    <xf numFmtId="0" fontId="0" fillId="11" borderId="0" xfId="23" applyFont="1" applyFill="1" applyAlignment="1">
      <alignment/>
    </xf>
    <xf numFmtId="0" fontId="0" fillId="11" borderId="0" xfId="23" applyFont="1" applyFill="1" applyAlignment="1">
      <alignment horizontal="center"/>
    </xf>
    <xf numFmtId="7" fontId="0" fillId="11" borderId="0" xfId="23" applyNumberFormat="1" applyFont="1" applyFill="1" applyAlignment="1">
      <alignment horizontal="center"/>
    </xf>
    <xf numFmtId="5" fontId="0" fillId="8" borderId="0" xfId="23" applyNumberFormat="1" applyFont="1" applyFill="1" applyAlignment="1" applyProtection="1">
      <alignment horizontal="center"/>
      <protection locked="0"/>
    </xf>
    <xf numFmtId="167" fontId="0" fillId="8" borderId="0" xfId="23" applyNumberFormat="1" applyFont="1" applyFill="1" applyAlignment="1" applyProtection="1">
      <alignment horizontal="center"/>
      <protection locked="0"/>
    </xf>
    <xf numFmtId="168" fontId="0" fillId="8" borderId="0" xfId="23" applyNumberFormat="1" applyFont="1" applyFill="1" applyAlignment="1" applyProtection="1">
      <alignment horizontal="center"/>
      <protection locked="0"/>
    </xf>
    <xf numFmtId="0" fontId="0" fillId="0" borderId="0" xfId="23" applyFont="1" applyAlignment="1">
      <alignment/>
    </xf>
    <xf numFmtId="0" fontId="0" fillId="12" borderId="0" xfId="23" applyFont="1" applyFill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23" applyFont="1" applyAlignment="1">
      <alignment horizontal="centerContinuous"/>
    </xf>
    <xf numFmtId="0" fontId="5" fillId="0" borderId="0" xfId="23" applyFont="1" applyAlignment="1">
      <alignment horizontal="centerContinuous"/>
    </xf>
    <xf numFmtId="0" fontId="0" fillId="0" borderId="0" xfId="0" applyAlignment="1">
      <alignment horizontal="centerContinuous"/>
    </xf>
    <xf numFmtId="169" fontId="0" fillId="0" borderId="0" xfId="23" applyNumberFormat="1" applyFont="1" applyAlignment="1" applyProtection="1">
      <alignment horizontal="center"/>
      <protection/>
    </xf>
    <xf numFmtId="1" fontId="1" fillId="0" borderId="0" xfId="23" applyNumberFormat="1" applyFont="1" applyAlignment="1" applyProtection="1">
      <alignment horizontal="center"/>
      <protection/>
    </xf>
    <xf numFmtId="0" fontId="1" fillId="0" borderId="0" xfId="23" applyFont="1" applyAlignment="1" applyProtection="1">
      <alignment horizontal="center"/>
      <protection/>
    </xf>
    <xf numFmtId="1" fontId="0" fillId="0" borderId="0" xfId="23" applyNumberFormat="1" applyFont="1" applyAlignment="1" applyProtection="1">
      <alignment horizontal="center"/>
      <protection/>
    </xf>
    <xf numFmtId="2" fontId="0" fillId="0" borderId="0" xfId="23" applyNumberFormat="1" applyFont="1" applyAlignment="1" applyProtection="1">
      <alignment horizontal="center"/>
      <protection/>
    </xf>
    <xf numFmtId="0" fontId="0" fillId="0" borderId="0" xfId="23" applyFont="1" applyAlignment="1" applyProtection="1">
      <alignment horizontal="center"/>
      <protection/>
    </xf>
    <xf numFmtId="167" fontId="0" fillId="9" borderId="0" xfId="23" applyNumberFormat="1" applyFont="1" applyFill="1" applyAlignment="1" applyProtection="1">
      <alignment horizontal="center"/>
      <protection locked="0"/>
    </xf>
    <xf numFmtId="7" fontId="0" fillId="9" borderId="0" xfId="23" applyNumberFormat="1" applyFont="1" applyFill="1" applyAlignment="1" applyProtection="1">
      <alignment horizontal="center"/>
      <protection locked="0"/>
    </xf>
    <xf numFmtId="5" fontId="0" fillId="9" borderId="0" xfId="23" applyNumberFormat="1" applyFont="1" applyFill="1" applyAlignment="1" applyProtection="1">
      <alignment horizontal="center"/>
      <protection locked="0"/>
    </xf>
    <xf numFmtId="5" fontId="0" fillId="13" borderId="0" xfId="23" applyNumberFormat="1" applyFont="1" applyFill="1" applyAlignment="1" applyProtection="1">
      <alignment horizontal="center"/>
      <protection locked="0"/>
    </xf>
    <xf numFmtId="5" fontId="0" fillId="14" borderId="0" xfId="23" applyNumberFormat="1" applyFont="1" applyFill="1" applyAlignment="1" applyProtection="1">
      <alignment horizontal="center"/>
      <protection locked="0"/>
    </xf>
    <xf numFmtId="9" fontId="0" fillId="9" borderId="0" xfId="23" applyNumberFormat="1" applyFont="1" applyFill="1" applyAlignment="1" applyProtection="1">
      <alignment horizontal="center"/>
      <protection locked="0"/>
    </xf>
    <xf numFmtId="1" fontId="0" fillId="9" borderId="0" xfId="23" applyNumberFormat="1" applyFont="1" applyFill="1" applyAlignment="1" applyProtection="1">
      <alignment horizontal="center"/>
      <protection locked="0"/>
    </xf>
    <xf numFmtId="0" fontId="0" fillId="15" borderId="0" xfId="23" applyFont="1" applyFill="1" applyAlignment="1" applyProtection="1">
      <alignment horizontal="center"/>
      <protection locked="0"/>
    </xf>
    <xf numFmtId="7" fontId="0" fillId="15" borderId="0" xfId="23" applyNumberFormat="1" applyFont="1" applyFill="1" applyAlignment="1" applyProtection="1">
      <alignment horizontal="center"/>
      <protection locked="0"/>
    </xf>
    <xf numFmtId="167" fontId="0" fillId="15" borderId="0" xfId="23" applyNumberFormat="1" applyFont="1" applyFill="1" applyAlignment="1" applyProtection="1">
      <alignment horizontal="center"/>
      <protection locked="0"/>
    </xf>
    <xf numFmtId="7" fontId="0" fillId="0" borderId="0" xfId="23" applyNumberFormat="1" applyFont="1" applyAlignment="1" applyProtection="1">
      <alignment horizontal="center"/>
      <protection/>
    </xf>
    <xf numFmtId="7" fontId="1" fillId="0" borderId="0" xfId="23" applyNumberFormat="1" applyFont="1" applyAlignment="1" applyProtection="1">
      <alignment horizontal="center"/>
      <protection/>
    </xf>
    <xf numFmtId="0" fontId="1" fillId="9" borderId="0" xfId="23" applyFont="1" applyFill="1" applyAlignment="1" applyProtection="1">
      <alignment horizontal="center"/>
      <protection locked="0"/>
    </xf>
    <xf numFmtId="168" fontId="0" fillId="9" borderId="0" xfId="23" applyNumberFormat="1" applyFont="1" applyFill="1" applyAlignment="1" applyProtection="1">
      <alignment horizontal="center"/>
      <protection locked="0"/>
    </xf>
    <xf numFmtId="0" fontId="0" fillId="11" borderId="0" xfId="0" applyFill="1" applyAlignment="1">
      <alignment/>
    </xf>
    <xf numFmtId="0" fontId="0" fillId="11" borderId="0" xfId="23" applyFont="1" applyFill="1" applyAlignment="1">
      <alignment horizontal="left"/>
    </xf>
    <xf numFmtId="0" fontId="5" fillId="0" borderId="0" xfId="23" applyFont="1" applyAlignment="1">
      <alignment/>
    </xf>
    <xf numFmtId="165" fontId="0" fillId="0" borderId="0" xfId="23" applyNumberFormat="1" applyFont="1" applyAlignment="1" applyProtection="1">
      <alignment horizontal="center"/>
      <protection/>
    </xf>
    <xf numFmtId="0" fontId="1" fillId="0" borderId="0" xfId="23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23" applyFont="1" applyFill="1" applyAlignment="1">
      <alignment horizontal="center"/>
    </xf>
    <xf numFmtId="0" fontId="1" fillId="0" borderId="0" xfId="23" applyFont="1" applyFill="1" applyAlignment="1">
      <alignment horizontal="center"/>
    </xf>
    <xf numFmtId="166" fontId="0" fillId="0" borderId="0" xfId="23" applyNumberFormat="1" applyFont="1" applyFill="1" applyAlignment="1">
      <alignment horizontal="center"/>
    </xf>
    <xf numFmtId="1" fontId="0" fillId="0" borderId="0" xfId="23" applyNumberFormat="1" applyFont="1" applyFill="1" applyAlignment="1">
      <alignment horizontal="center"/>
    </xf>
    <xf numFmtId="5" fontId="0" fillId="0" borderId="0" xfId="23" applyNumberFormat="1" applyFont="1" applyFill="1" applyAlignment="1">
      <alignment horizontal="center"/>
    </xf>
    <xf numFmtId="0" fontId="1" fillId="0" borderId="0" xfId="23" applyFont="1" applyFill="1" applyAlignment="1">
      <alignment/>
    </xf>
    <xf numFmtId="10" fontId="0" fillId="0" borderId="0" xfId="23" applyNumberFormat="1" applyFont="1" applyFill="1" applyAlignment="1">
      <alignment horizontal="center"/>
    </xf>
    <xf numFmtId="0" fontId="0" fillId="0" borderId="0" xfId="23" applyFont="1" applyFill="1" applyAlignment="1">
      <alignment/>
    </xf>
    <xf numFmtId="165" fontId="0" fillId="0" borderId="0" xfId="23" applyNumberFormat="1" applyFont="1" applyFill="1" applyAlignment="1">
      <alignment horizontal="center"/>
    </xf>
    <xf numFmtId="0" fontId="0" fillId="0" borderId="0" xfId="23" applyFont="1" applyFill="1" applyAlignment="1">
      <alignment horizontal="right"/>
    </xf>
    <xf numFmtId="0" fontId="0" fillId="0" borderId="0" xfId="23" applyFont="1" applyFill="1" applyAlignment="1">
      <alignment horizontal="left"/>
    </xf>
    <xf numFmtId="0" fontId="0" fillId="0" borderId="0" xfId="23" applyFont="1" applyFill="1" applyBorder="1" applyAlignment="1">
      <alignment horizontal="center"/>
    </xf>
    <xf numFmtId="0" fontId="0" fillId="16" borderId="0" xfId="23" applyFont="1" applyFill="1" applyAlignment="1">
      <alignment horizontal="center"/>
    </xf>
    <xf numFmtId="7" fontId="0" fillId="0" borderId="0" xfId="23" applyNumberFormat="1" applyFont="1" applyFill="1" applyAlignment="1">
      <alignment horizontal="center"/>
    </xf>
    <xf numFmtId="2" fontId="0" fillId="0" borderId="0" xfId="23" applyNumberFormat="1" applyFont="1" applyFill="1" applyAlignment="1">
      <alignment horizontal="center"/>
    </xf>
    <xf numFmtId="5" fontId="1" fillId="0" borderId="0" xfId="23" applyNumberFormat="1" applyFont="1" applyFill="1" applyAlignment="1">
      <alignment horizontal="center"/>
    </xf>
    <xf numFmtId="0" fontId="1" fillId="0" borderId="0" xfId="23" applyFont="1" applyFill="1" applyAlignment="1">
      <alignment horizontal="center"/>
    </xf>
    <xf numFmtId="171" fontId="0" fillId="0" borderId="0" xfId="23" applyNumberFormat="1" applyFont="1" applyFill="1" applyAlignment="1">
      <alignment horizontal="center"/>
    </xf>
    <xf numFmtId="0" fontId="0" fillId="8" borderId="0" xfId="23" applyFont="1" applyFill="1" applyAlignment="1" applyProtection="1">
      <alignment/>
      <protection locked="0"/>
    </xf>
    <xf numFmtId="0" fontId="0" fillId="8" borderId="0" xfId="0" applyFill="1" applyAlignment="1">
      <alignment/>
    </xf>
    <xf numFmtId="169" fontId="0" fillId="0" borderId="0" xfId="0" applyNumberFormat="1" applyAlignment="1">
      <alignment/>
    </xf>
    <xf numFmtId="1" fontId="1" fillId="0" borderId="0" xfId="23" applyNumberFormat="1" applyFont="1" applyAlignment="1">
      <alignment horizontal="center"/>
    </xf>
    <xf numFmtId="0" fontId="0" fillId="17" borderId="0" xfId="23" applyFont="1" applyFill="1" applyAlignment="1" applyProtection="1">
      <alignment horizontal="center"/>
      <protection locked="0"/>
    </xf>
    <xf numFmtId="7" fontId="1" fillId="0" borderId="0" xfId="23" applyNumberFormat="1" applyFont="1" applyFill="1" applyAlignment="1">
      <alignment horizontal="center"/>
    </xf>
    <xf numFmtId="0" fontId="0" fillId="16" borderId="0" xfId="0" applyFill="1" applyAlignment="1">
      <alignment/>
    </xf>
    <xf numFmtId="5" fontId="1" fillId="0" borderId="0" xfId="23" applyNumberFormat="1" applyFont="1" applyAlignment="1">
      <alignment horizontal="center"/>
    </xf>
    <xf numFmtId="165" fontId="1" fillId="0" borderId="0" xfId="23" applyNumberFormat="1" applyFont="1" applyAlignment="1">
      <alignment horizontal="center"/>
    </xf>
    <xf numFmtId="0" fontId="5" fillId="0" borderId="0" xfId="23" applyFont="1" applyFill="1" applyAlignment="1">
      <alignment/>
    </xf>
    <xf numFmtId="1" fontId="1" fillId="0" borderId="0" xfId="23" applyNumberFormat="1" applyFont="1" applyFill="1" applyAlignment="1">
      <alignment horizontal="center"/>
    </xf>
    <xf numFmtId="165" fontId="1" fillId="0" borderId="0" xfId="23" applyNumberFormat="1" applyFont="1" applyFill="1" applyAlignment="1">
      <alignment horizontal="center"/>
    </xf>
    <xf numFmtId="2" fontId="1" fillId="0" borderId="0" xfId="23" applyNumberFormat="1" applyFont="1" applyFill="1" applyAlignment="1">
      <alignment horizontal="center"/>
    </xf>
    <xf numFmtId="0" fontId="0" fillId="16" borderId="0" xfId="23" applyFont="1" applyFill="1" applyAlignment="1">
      <alignment/>
    </xf>
    <xf numFmtId="166" fontId="0" fillId="17" borderId="0" xfId="23" applyNumberFormat="1" applyFont="1" applyFill="1" applyAlignment="1" applyProtection="1">
      <alignment horizontal="center"/>
      <protection locked="0"/>
    </xf>
    <xf numFmtId="9" fontId="0" fillId="17" borderId="0" xfId="23" applyNumberFormat="1" applyFont="1" applyFill="1" applyAlignment="1" applyProtection="1">
      <alignment horizontal="center"/>
      <protection locked="0"/>
    </xf>
    <xf numFmtId="1" fontId="0" fillId="0" borderId="0" xfId="23" applyNumberFormat="1" applyFont="1" applyFill="1" applyAlignment="1" applyProtection="1">
      <alignment horizontal="center"/>
      <protection/>
    </xf>
    <xf numFmtId="5" fontId="0" fillId="0" borderId="0" xfId="23" applyNumberFormat="1" applyFont="1" applyFill="1" applyAlignment="1" applyProtection="1">
      <alignment horizontal="center"/>
      <protection/>
    </xf>
    <xf numFmtId="0" fontId="0" fillId="0" borderId="0" xfId="23" applyFont="1" applyFill="1" applyAlignment="1" applyProtection="1">
      <alignment horizontal="center"/>
      <protection/>
    </xf>
    <xf numFmtId="7" fontId="1" fillId="0" borderId="0" xfId="23" applyNumberFormat="1" applyFont="1" applyAlignment="1">
      <alignment horizontal="center"/>
    </xf>
    <xf numFmtId="0" fontId="1" fillId="16" borderId="0" xfId="23" applyFont="1" applyFill="1" applyAlignment="1">
      <alignment horizontal="center"/>
    </xf>
    <xf numFmtId="0" fontId="0" fillId="11" borderId="0" xfId="23" applyFont="1" applyFill="1" applyAlignment="1">
      <alignment horizontal="right"/>
    </xf>
    <xf numFmtId="166" fontId="0" fillId="0" borderId="0" xfId="23" applyNumberFormat="1" applyFont="1" applyFill="1" applyAlignment="1" applyProtection="1">
      <alignment horizontal="center"/>
      <protection/>
    </xf>
    <xf numFmtId="171" fontId="0" fillId="0" borderId="0" xfId="23" applyNumberFormat="1" applyFont="1" applyAlignment="1">
      <alignment horizontal="center"/>
    </xf>
    <xf numFmtId="173" fontId="0" fillId="0" borderId="0" xfId="23" applyNumberFormat="1" applyFont="1" applyAlignment="1">
      <alignment horizontal="center"/>
    </xf>
    <xf numFmtId="174" fontId="0" fillId="0" borderId="0" xfId="23" applyNumberFormat="1" applyFont="1" applyAlignment="1">
      <alignment horizontal="center"/>
    </xf>
    <xf numFmtId="2" fontId="0" fillId="0" borderId="0" xfId="23" applyNumberFormat="1" applyFont="1" applyFill="1" applyAlignment="1" applyProtection="1">
      <alignment horizontal="center"/>
      <protection/>
    </xf>
    <xf numFmtId="37" fontId="0" fillId="0" borderId="0" xfId="23" applyNumberFormat="1" applyFont="1" applyFill="1" applyAlignment="1">
      <alignment horizontal="center"/>
    </xf>
    <xf numFmtId="10" fontId="0" fillId="0" borderId="0" xfId="23" applyNumberFormat="1" applyFont="1" applyFill="1" applyAlignment="1" applyProtection="1">
      <alignment horizontal="center"/>
      <protection/>
    </xf>
    <xf numFmtId="0" fontId="3" fillId="0" borderId="0" xfId="23" applyFont="1" applyFill="1" applyAlignment="1">
      <alignment horizontal="center"/>
    </xf>
    <xf numFmtId="171" fontId="0" fillId="17" borderId="0" xfId="23" applyNumberFormat="1" applyFont="1" applyFill="1" applyAlignment="1" applyProtection="1">
      <alignment horizontal="center"/>
      <protection locked="0"/>
    </xf>
    <xf numFmtId="167" fontId="0" fillId="0" borderId="0" xfId="2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23" applyNumberFormat="1" applyFont="1" applyAlignment="1">
      <alignment horizontal="center"/>
    </xf>
    <xf numFmtId="173" fontId="0" fillId="0" borderId="0" xfId="23" applyNumberFormat="1" applyFont="1" applyFill="1" applyAlignment="1">
      <alignment horizontal="center"/>
    </xf>
    <xf numFmtId="0" fontId="0" fillId="0" borderId="0" xfId="23" applyFont="1" applyAlignment="1">
      <alignment/>
    </xf>
    <xf numFmtId="165" fontId="1" fillId="0" borderId="0" xfId="23" applyNumberFormat="1" applyFont="1" applyAlignment="1">
      <alignment horizontal="center"/>
    </xf>
    <xf numFmtId="0" fontId="1" fillId="0" borderId="0" xfId="23" applyFont="1" applyFill="1" applyAlignment="1" applyProtection="1">
      <alignment horizontal="center"/>
      <protection/>
    </xf>
    <xf numFmtId="165" fontId="0" fillId="0" borderId="0" xfId="23" applyNumberFormat="1" applyFont="1" applyFill="1" applyAlignment="1" applyProtection="1">
      <alignment horizontal="center"/>
      <protection/>
    </xf>
    <xf numFmtId="167" fontId="0" fillId="0" borderId="0" xfId="23" applyNumberFormat="1" applyFont="1" applyFill="1" applyAlignment="1" applyProtection="1">
      <alignment horizontal="center"/>
      <protection locked="0"/>
    </xf>
    <xf numFmtId="0" fontId="5" fillId="0" borderId="0" xfId="23" applyFont="1" applyAlignment="1">
      <alignment horizontal="left"/>
    </xf>
    <xf numFmtId="171" fontId="1" fillId="0" borderId="0" xfId="23" applyNumberFormat="1" applyFont="1" applyAlignment="1">
      <alignment horizontal="center"/>
    </xf>
    <xf numFmtId="5" fontId="1" fillId="0" borderId="0" xfId="23" applyNumberFormat="1" applyFont="1" applyFill="1" applyAlignment="1">
      <alignment horizontal="center"/>
    </xf>
    <xf numFmtId="7" fontId="1" fillId="0" borderId="0" xfId="23" applyNumberFormat="1" applyFont="1" applyFill="1" applyAlignment="1">
      <alignment horizontal="center"/>
    </xf>
    <xf numFmtId="7" fontId="0" fillId="0" borderId="0" xfId="23" applyNumberFormat="1" applyFont="1" applyFill="1" applyAlignment="1" applyProtection="1">
      <alignment horizontal="center"/>
      <protection locked="0"/>
    </xf>
    <xf numFmtId="0" fontId="5" fillId="0" borderId="0" xfId="23" applyFont="1" applyFill="1" applyAlignment="1">
      <alignment/>
    </xf>
    <xf numFmtId="3" fontId="0" fillId="0" borderId="0" xfId="23" applyNumberFormat="1" applyFont="1" applyAlignment="1">
      <alignment horizontal="center"/>
    </xf>
    <xf numFmtId="5" fontId="0" fillId="0" borderId="0" xfId="23" applyNumberFormat="1" applyFont="1" applyAlignment="1">
      <alignment horizontal="center"/>
    </xf>
    <xf numFmtId="3" fontId="0" fillId="0" borderId="0" xfId="23" applyNumberFormat="1" applyFont="1" applyAlignment="1">
      <alignment horizontal="center"/>
    </xf>
    <xf numFmtId="165" fontId="0" fillId="0" borderId="0" xfId="23" applyNumberFormat="1" applyFont="1" applyAlignment="1">
      <alignment horizontal="center"/>
    </xf>
    <xf numFmtId="171" fontId="1" fillId="0" borderId="0" xfId="23" applyNumberFormat="1" applyFont="1" applyFill="1" applyAlignment="1">
      <alignment horizontal="center"/>
    </xf>
    <xf numFmtId="0" fontId="1" fillId="0" borderId="0" xfId="23" applyFont="1" applyFill="1" applyAlignment="1">
      <alignment/>
    </xf>
    <xf numFmtId="0" fontId="5" fillId="0" borderId="0" xfId="0" applyFont="1" applyAlignment="1">
      <alignment/>
    </xf>
    <xf numFmtId="1" fontId="1" fillId="0" borderId="0" xfId="23" applyNumberFormat="1" applyFont="1" applyFill="1" applyAlignment="1">
      <alignment horizontal="center"/>
    </xf>
    <xf numFmtId="173" fontId="1" fillId="0" borderId="0" xfId="23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1" fillId="0" borderId="0" xfId="23" applyNumberFormat="1" applyFont="1" applyFill="1" applyAlignment="1" applyProtection="1">
      <alignment horizontal="center"/>
      <protection/>
    </xf>
    <xf numFmtId="0" fontId="0" fillId="0" borderId="0" xfId="0" applyAlignment="1">
      <alignment horizontal="left"/>
    </xf>
    <xf numFmtId="0" fontId="1" fillId="0" borderId="0" xfId="23" applyFont="1" applyFill="1" applyAlignment="1">
      <alignment horizontal="left"/>
    </xf>
    <xf numFmtId="7" fontId="0" fillId="17" borderId="0" xfId="23" applyNumberFormat="1" applyFont="1" applyFill="1" applyAlignment="1" applyProtection="1">
      <alignment horizontal="center"/>
      <protection locked="0"/>
    </xf>
    <xf numFmtId="0" fontId="0" fillId="0" borderId="0" xfId="23" applyFont="1" applyFill="1" applyAlignment="1" applyProtection="1">
      <alignment horizontal="center"/>
      <protection locked="0"/>
    </xf>
    <xf numFmtId="179" fontId="0" fillId="0" borderId="0" xfId="23" applyNumberFormat="1" applyFont="1" applyAlignment="1">
      <alignment horizontal="center"/>
    </xf>
    <xf numFmtId="179" fontId="0" fillId="9" borderId="0" xfId="23" applyNumberFormat="1" applyFont="1" applyFill="1" applyAlignment="1" applyProtection="1">
      <alignment horizontal="center"/>
      <protection locked="0"/>
    </xf>
    <xf numFmtId="167" fontId="0" fillId="0" borderId="0" xfId="23" applyNumberFormat="1" applyFont="1" applyFill="1" applyAlignment="1" applyProtection="1">
      <alignment horizontal="center"/>
      <protection/>
    </xf>
    <xf numFmtId="171" fontId="1" fillId="0" borderId="0" xfId="23" applyNumberFormat="1" applyFont="1" applyAlignment="1">
      <alignment horizontal="center"/>
    </xf>
    <xf numFmtId="173" fontId="0" fillId="17" borderId="0" xfId="0" applyNumberFormat="1" applyFill="1" applyAlignment="1" applyProtection="1">
      <alignment horizontal="center"/>
      <protection locked="0"/>
    </xf>
    <xf numFmtId="9" fontId="0" fillId="13" borderId="0" xfId="0" applyNumberFormat="1" applyFill="1" applyAlignment="1" applyProtection="1">
      <alignment horizontal="center"/>
      <protection locked="0"/>
    </xf>
    <xf numFmtId="9" fontId="0" fillId="13" borderId="0" xfId="23" applyNumberFormat="1" applyFont="1" applyFill="1" applyAlignment="1" applyProtection="1">
      <alignment horizontal="center"/>
      <protection locked="0"/>
    </xf>
    <xf numFmtId="1" fontId="0" fillId="17" borderId="0" xfId="23" applyNumberFormat="1" applyFont="1" applyFill="1" applyAlignment="1" applyProtection="1">
      <alignment horizontal="center"/>
      <protection locked="0"/>
    </xf>
    <xf numFmtId="9" fontId="0" fillId="0" borderId="0" xfId="23" applyNumberFormat="1" applyFont="1" applyFill="1" applyAlignment="1" applyProtection="1">
      <alignment horizontal="center"/>
      <protection/>
    </xf>
    <xf numFmtId="0" fontId="0" fillId="4" borderId="0" xfId="24" applyFont="1" applyFill="1" applyAlignment="1">
      <alignment/>
    </xf>
    <xf numFmtId="0" fontId="0" fillId="4" borderId="0" xfId="24" applyFont="1" applyFill="1" applyAlignment="1">
      <alignment horizontal="center"/>
    </xf>
    <xf numFmtId="0" fontId="0" fillId="16" borderId="0" xfId="25" applyFill="1">
      <alignment/>
      <protection/>
    </xf>
    <xf numFmtId="0" fontId="0" fillId="0" borderId="0" xfId="25">
      <alignment/>
      <protection/>
    </xf>
    <xf numFmtId="0" fontId="1" fillId="0" borderId="0" xfId="24" applyFont="1" applyAlignment="1">
      <alignment/>
    </xf>
    <xf numFmtId="0" fontId="1" fillId="0" borderId="0" xfId="24" applyFont="1" applyAlignment="1">
      <alignment horizontal="center"/>
    </xf>
    <xf numFmtId="0" fontId="1" fillId="0" borderId="0" xfId="24" applyFont="1" applyFill="1" applyAlignment="1" applyProtection="1">
      <alignment horizontal="center"/>
      <protection/>
    </xf>
    <xf numFmtId="0" fontId="0" fillId="0" borderId="0" xfId="24" applyFont="1" applyAlignment="1">
      <alignment horizontal="center"/>
    </xf>
    <xf numFmtId="0" fontId="0" fillId="8" borderId="0" xfId="24" applyFont="1" applyFill="1" applyAlignment="1" applyProtection="1">
      <alignment horizontal="center"/>
      <protection locked="0"/>
    </xf>
    <xf numFmtId="7" fontId="0" fillId="0" borderId="0" xfId="24" applyNumberFormat="1" applyFont="1" applyAlignment="1">
      <alignment horizontal="center"/>
    </xf>
    <xf numFmtId="7" fontId="0" fillId="8" borderId="0" xfId="24" applyNumberFormat="1" applyFont="1" applyFill="1" applyAlignment="1" applyProtection="1">
      <alignment horizontal="center"/>
      <protection locked="0"/>
    </xf>
    <xf numFmtId="5" fontId="0" fillId="0" borderId="0" xfId="24" applyNumberFormat="1" applyFont="1" applyAlignment="1">
      <alignment horizontal="center"/>
    </xf>
    <xf numFmtId="5" fontId="0" fillId="8" borderId="0" xfId="24" applyNumberFormat="1" applyFont="1" applyFill="1" applyAlignment="1" applyProtection="1">
      <alignment horizontal="center"/>
      <protection locked="0"/>
    </xf>
    <xf numFmtId="5" fontId="0" fillId="0" borderId="0" xfId="24" applyNumberFormat="1" applyFont="1" applyFill="1" applyAlignment="1" applyProtection="1">
      <alignment horizontal="center"/>
      <protection locked="0"/>
    </xf>
    <xf numFmtId="0" fontId="0" fillId="9" borderId="0" xfId="24" applyFont="1" applyFill="1" applyAlignment="1" applyProtection="1">
      <alignment horizontal="center"/>
      <protection locked="0"/>
    </xf>
    <xf numFmtId="167" fontId="0" fillId="0" borderId="0" xfId="24" applyNumberFormat="1" applyFont="1" applyFill="1" applyAlignment="1" applyProtection="1">
      <alignment horizontal="center"/>
      <protection locked="0"/>
    </xf>
    <xf numFmtId="0" fontId="0" fillId="0" borderId="0" xfId="24" applyFont="1" applyFill="1" applyAlignment="1">
      <alignment horizontal="center"/>
    </xf>
    <xf numFmtId="1" fontId="0" fillId="0" borderId="0" xfId="24" applyNumberFormat="1" applyFont="1" applyFill="1" applyAlignment="1">
      <alignment horizontal="center"/>
    </xf>
    <xf numFmtId="165" fontId="0" fillId="0" borderId="0" xfId="24" applyNumberFormat="1" applyFont="1" applyFill="1" applyAlignment="1">
      <alignment horizontal="center"/>
    </xf>
    <xf numFmtId="2" fontId="0" fillId="0" borderId="0" xfId="24" applyNumberFormat="1" applyFont="1" applyFill="1" applyAlignment="1">
      <alignment horizontal="center"/>
    </xf>
    <xf numFmtId="0" fontId="0" fillId="0" borderId="0" xfId="24" applyFont="1" applyAlignment="1">
      <alignment horizontal="right"/>
    </xf>
    <xf numFmtId="0" fontId="5" fillId="0" borderId="0" xfId="24" applyFont="1" applyAlignment="1">
      <alignment/>
    </xf>
    <xf numFmtId="0" fontId="3" fillId="0" borderId="0" xfId="24" applyFont="1" applyAlignment="1">
      <alignment/>
    </xf>
    <xf numFmtId="5" fontId="1" fillId="0" borderId="0" xfId="24" applyNumberFormat="1" applyFont="1" applyFill="1" applyAlignment="1">
      <alignment horizontal="center"/>
    </xf>
    <xf numFmtId="7" fontId="1" fillId="0" borderId="0" xfId="24" applyNumberFormat="1" applyFont="1" applyFill="1" applyAlignment="1">
      <alignment/>
    </xf>
    <xf numFmtId="5" fontId="1" fillId="0" borderId="0" xfId="24" applyNumberFormat="1" applyFont="1" applyAlignment="1">
      <alignment horizontal="center"/>
    </xf>
    <xf numFmtId="7" fontId="0" fillId="0" borderId="0" xfId="24" applyNumberFormat="1" applyFont="1" applyFill="1" applyAlignment="1">
      <alignment horizontal="center"/>
    </xf>
    <xf numFmtId="1" fontId="0" fillId="0" borderId="0" xfId="24" applyNumberFormat="1" applyFont="1" applyAlignment="1">
      <alignment horizontal="center"/>
    </xf>
    <xf numFmtId="0" fontId="0" fillId="0" borderId="0" xfId="25" applyFill="1">
      <alignment/>
      <protection/>
    </xf>
    <xf numFmtId="7" fontId="0" fillId="9" borderId="0" xfId="24" applyNumberFormat="1" applyFont="1" applyFill="1" applyAlignment="1" applyProtection="1">
      <alignment horizontal="center"/>
      <protection locked="0"/>
    </xf>
    <xf numFmtId="7" fontId="1" fillId="0" borderId="0" xfId="24" applyNumberFormat="1" applyFont="1" applyAlignment="1">
      <alignment horizontal="center"/>
    </xf>
    <xf numFmtId="5" fontId="1" fillId="3" borderId="0" xfId="24" applyNumberFormat="1" applyFont="1" applyFill="1" applyAlignment="1">
      <alignment horizontal="center"/>
    </xf>
    <xf numFmtId="0" fontId="0" fillId="3" borderId="0" xfId="24" applyFont="1" applyFill="1" applyAlignment="1">
      <alignment horizontal="center"/>
    </xf>
    <xf numFmtId="0" fontId="0" fillId="11" borderId="0" xfId="24" applyFont="1" applyFill="1" applyAlignment="1">
      <alignment/>
    </xf>
    <xf numFmtId="0" fontId="0" fillId="11" borderId="0" xfId="24" applyFont="1" applyFill="1" applyAlignment="1">
      <alignment horizontal="center"/>
    </xf>
    <xf numFmtId="0" fontId="1" fillId="8" borderId="0" xfId="24" applyFont="1" applyFill="1" applyAlignment="1" applyProtection="1">
      <alignment/>
      <protection locked="0"/>
    </xf>
    <xf numFmtId="0" fontId="1" fillId="8" borderId="0" xfId="24" applyFont="1" applyFill="1" applyAlignment="1" applyProtection="1">
      <alignment horizontal="right"/>
      <protection locked="0"/>
    </xf>
    <xf numFmtId="5" fontId="0" fillId="0" borderId="0" xfId="24" applyNumberFormat="1" applyFont="1" applyFill="1" applyAlignment="1">
      <alignment horizontal="center"/>
    </xf>
    <xf numFmtId="9" fontId="0" fillId="8" borderId="0" xfId="24" applyNumberFormat="1" applyFont="1" applyFill="1" applyAlignment="1" applyProtection="1">
      <alignment horizontal="center"/>
      <protection locked="0"/>
    </xf>
    <xf numFmtId="7" fontId="1" fillId="0" borderId="0" xfId="24" applyNumberFormat="1" applyFont="1" applyFill="1" applyAlignment="1">
      <alignment horizontal="center"/>
    </xf>
    <xf numFmtId="1" fontId="0" fillId="3" borderId="0" xfId="24" applyNumberFormat="1" applyFont="1" applyFill="1" applyAlignment="1">
      <alignment horizontal="center"/>
    </xf>
    <xf numFmtId="0" fontId="0" fillId="0" borderId="0" xfId="24" applyFont="1" applyFill="1" applyAlignment="1">
      <alignment/>
    </xf>
    <xf numFmtId="5" fontId="0" fillId="9" borderId="0" xfId="24" applyNumberFormat="1" applyFont="1" applyFill="1" applyAlignment="1" applyProtection="1">
      <alignment horizontal="center"/>
      <protection locked="0"/>
    </xf>
    <xf numFmtId="5" fontId="1" fillId="0" borderId="0" xfId="24" applyNumberFormat="1" applyFont="1" applyAlignment="1">
      <alignment horizontal="center"/>
    </xf>
    <xf numFmtId="5" fontId="0" fillId="13" borderId="0" xfId="24" applyNumberFormat="1" applyFont="1" applyFill="1" applyAlignment="1" applyProtection="1">
      <alignment horizontal="center"/>
      <protection locked="0"/>
    </xf>
    <xf numFmtId="5" fontId="0" fillId="14" borderId="0" xfId="24" applyNumberFormat="1" applyFont="1" applyFill="1" applyAlignment="1" applyProtection="1">
      <alignment horizontal="center"/>
      <protection locked="0"/>
    </xf>
    <xf numFmtId="5" fontId="0" fillId="3" borderId="0" xfId="24" applyNumberFormat="1" applyFont="1" applyFill="1" applyAlignment="1">
      <alignment horizontal="center"/>
    </xf>
    <xf numFmtId="0" fontId="1" fillId="0" borderId="0" xfId="24" applyFont="1" applyAlignment="1">
      <alignment horizontal="right"/>
    </xf>
    <xf numFmtId="0" fontId="0" fillId="0" borderId="0" xfId="24" applyFont="1" applyFill="1" applyAlignment="1">
      <alignment horizontal="right"/>
    </xf>
    <xf numFmtId="1" fontId="0" fillId="8" borderId="0" xfId="24" applyNumberFormat="1" applyFont="1" applyFill="1" applyAlignment="1" applyProtection="1">
      <alignment horizontal="center"/>
      <protection locked="0"/>
    </xf>
    <xf numFmtId="9" fontId="0" fillId="9" borderId="0" xfId="24" applyNumberFormat="1" applyFont="1" applyFill="1" applyAlignment="1" applyProtection="1">
      <alignment horizontal="center"/>
      <protection locked="0"/>
    </xf>
    <xf numFmtId="1" fontId="0" fillId="9" borderId="0" xfId="24" applyNumberFormat="1" applyFont="1" applyFill="1" applyAlignment="1" applyProtection="1">
      <alignment horizontal="center"/>
      <protection locked="0"/>
    </xf>
    <xf numFmtId="10" fontId="0" fillId="9" borderId="0" xfId="24" applyNumberFormat="1" applyFont="1" applyFill="1" applyAlignment="1" applyProtection="1">
      <alignment horizontal="center"/>
      <protection locked="0"/>
    </xf>
    <xf numFmtId="0" fontId="5" fillId="0" borderId="0" xfId="24" applyFont="1" applyFill="1" applyAlignment="1">
      <alignment/>
    </xf>
    <xf numFmtId="0" fontId="1" fillId="11" borderId="0" xfId="24" applyFont="1" applyFill="1" applyAlignment="1">
      <alignment/>
    </xf>
    <xf numFmtId="165" fontId="0" fillId="0" borderId="0" xfId="24" applyNumberFormat="1" applyFont="1" applyAlignment="1">
      <alignment horizontal="center"/>
    </xf>
    <xf numFmtId="0" fontId="0" fillId="18" borderId="0" xfId="24" applyFont="1" applyFill="1" applyAlignment="1">
      <alignment horizontal="center"/>
    </xf>
    <xf numFmtId="0" fontId="0" fillId="18" borderId="0" xfId="25" applyFill="1">
      <alignment/>
      <protection/>
    </xf>
    <xf numFmtId="5" fontId="0" fillId="11" borderId="0" xfId="24" applyNumberFormat="1" applyFont="1" applyFill="1" applyAlignment="1">
      <alignment horizontal="center"/>
    </xf>
    <xf numFmtId="0" fontId="1" fillId="0" borderId="0" xfId="24" applyFont="1" applyFill="1" applyAlignment="1">
      <alignment horizontal="left"/>
    </xf>
    <xf numFmtId="0" fontId="1" fillId="0" borderId="0" xfId="24" applyFont="1" applyFill="1" applyAlignment="1">
      <alignment horizontal="center"/>
    </xf>
    <xf numFmtId="1" fontId="0" fillId="0" borderId="0" xfId="24" applyNumberFormat="1" applyFont="1" applyFill="1" applyAlignment="1" applyProtection="1">
      <alignment horizontal="center"/>
      <protection/>
    </xf>
    <xf numFmtId="7" fontId="0" fillId="0" borderId="0" xfId="24" applyNumberFormat="1" applyFont="1" applyFill="1" applyAlignment="1" applyProtection="1">
      <alignment horizontal="center"/>
      <protection/>
    </xf>
    <xf numFmtId="175" fontId="0" fillId="0" borderId="0" xfId="24" applyNumberFormat="1" applyFont="1" applyFill="1" applyAlignment="1" applyProtection="1">
      <alignment horizontal="center"/>
      <protection/>
    </xf>
    <xf numFmtId="0" fontId="0" fillId="3" borderId="0" xfId="24" applyFont="1" applyFill="1" applyAlignment="1">
      <alignment/>
    </xf>
    <xf numFmtId="0" fontId="5" fillId="11" borderId="0" xfId="24" applyFont="1" applyFill="1" applyAlignment="1">
      <alignment/>
    </xf>
    <xf numFmtId="0" fontId="0" fillId="16" borderId="0" xfId="24" applyFont="1" applyFill="1" applyAlignment="1">
      <alignment horizontal="center"/>
    </xf>
    <xf numFmtId="5" fontId="0" fillId="16" borderId="0" xfId="24" applyNumberFormat="1" applyFont="1" applyFill="1" applyAlignment="1">
      <alignment horizontal="center"/>
    </xf>
    <xf numFmtId="171" fontId="1" fillId="0" borderId="0" xfId="24" applyNumberFormat="1" applyFont="1" applyAlignment="1">
      <alignment horizontal="center"/>
    </xf>
    <xf numFmtId="5" fontId="1" fillId="0" borderId="0" xfId="24" applyNumberFormat="1" applyFont="1" applyFill="1" applyAlignment="1">
      <alignment/>
    </xf>
    <xf numFmtId="0" fontId="0" fillId="0" borderId="0" xfId="24" applyFont="1" applyAlignment="1">
      <alignment horizontal="left"/>
    </xf>
    <xf numFmtId="5" fontId="0" fillId="0" borderId="0" xfId="24" applyNumberFormat="1" applyFont="1" applyFill="1" applyAlignment="1">
      <alignment horizontal="center"/>
    </xf>
    <xf numFmtId="165" fontId="0" fillId="0" borderId="0" xfId="24" applyNumberFormat="1" applyFont="1" applyFill="1" applyAlignment="1">
      <alignment/>
    </xf>
    <xf numFmtId="5" fontId="1" fillId="0" borderId="0" xfId="24" applyNumberFormat="1" applyFont="1" applyFill="1" applyAlignment="1">
      <alignment horizontal="center"/>
    </xf>
    <xf numFmtId="0" fontId="5" fillId="3" borderId="0" xfId="24" applyFont="1" applyFill="1" applyAlignment="1">
      <alignment/>
    </xf>
    <xf numFmtId="0" fontId="1" fillId="0" borderId="0" xfId="25" applyFont="1">
      <alignment/>
      <protection/>
    </xf>
    <xf numFmtId="7" fontId="0" fillId="11" borderId="0" xfId="24" applyNumberFormat="1" applyFont="1" applyFill="1" applyAlignment="1">
      <alignment horizontal="center"/>
    </xf>
    <xf numFmtId="7" fontId="1" fillId="0" borderId="0" xfId="24" applyNumberFormat="1" applyFont="1" applyFill="1" applyAlignment="1">
      <alignment horizontal="center"/>
    </xf>
    <xf numFmtId="0" fontId="5" fillId="0" borderId="0" xfId="24" applyFont="1" applyFill="1" applyAlignment="1">
      <alignment/>
    </xf>
    <xf numFmtId="0" fontId="0" fillId="0" borderId="0" xfId="25" applyFont="1">
      <alignment/>
      <protection/>
    </xf>
    <xf numFmtId="0" fontId="1" fillId="0" borderId="0" xfId="24" applyFont="1" applyFill="1" applyAlignment="1">
      <alignment horizontal="center"/>
    </xf>
    <xf numFmtId="165" fontId="1" fillId="0" borderId="0" xfId="24" applyNumberFormat="1" applyFont="1" applyFill="1" applyAlignment="1">
      <alignment horizontal="center"/>
    </xf>
    <xf numFmtId="0" fontId="0" fillId="0" borderId="0" xfId="24" applyFont="1" applyFill="1" applyAlignment="1" applyProtection="1">
      <alignment horizontal="center"/>
      <protection/>
    </xf>
    <xf numFmtId="167" fontId="0" fillId="0" borderId="0" xfId="24" applyNumberFormat="1" applyFont="1" applyFill="1" applyAlignment="1" applyProtection="1">
      <alignment horizontal="center"/>
      <protection/>
    </xf>
    <xf numFmtId="10" fontId="0" fillId="0" borderId="0" xfId="24" applyNumberFormat="1" applyFont="1" applyFill="1" applyAlignment="1" applyProtection="1">
      <alignment horizontal="center"/>
      <protection locked="0"/>
    </xf>
    <xf numFmtId="166" fontId="0" fillId="0" borderId="0" xfId="23" applyNumberFormat="1" applyFont="1" applyFill="1" applyAlignment="1" applyProtection="1">
      <alignment horizontal="center"/>
      <protection locked="0"/>
    </xf>
    <xf numFmtId="181" fontId="0" fillId="8" borderId="0" xfId="23" applyNumberFormat="1" applyFont="1" applyFill="1" applyAlignment="1">
      <alignment horizontal="center"/>
    </xf>
    <xf numFmtId="37" fontId="0" fillId="0" borderId="0" xfId="23" applyNumberFormat="1" applyFont="1" applyFill="1" applyAlignment="1" applyProtection="1">
      <alignment horizontal="center"/>
      <protection/>
    </xf>
    <xf numFmtId="0" fontId="0" fillId="0" borderId="0" xfId="25" applyFont="1" applyFill="1">
      <alignment/>
      <protection/>
    </xf>
    <xf numFmtId="0" fontId="0" fillId="0" borderId="0" xfId="25" applyFont="1" applyAlignment="1">
      <alignment horizontal="center"/>
      <protection/>
    </xf>
    <xf numFmtId="9" fontId="0" fillId="13" borderId="0" xfId="23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23" applyFont="1" applyFill="1" applyAlignment="1">
      <alignment horizontal="center"/>
    </xf>
    <xf numFmtId="0" fontId="0" fillId="0" borderId="0" xfId="0" applyAlignment="1">
      <alignment horizontal="right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3" applyFont="1" applyAlignment="1">
      <alignment horizontal="center"/>
    </xf>
    <xf numFmtId="0" fontId="1" fillId="19" borderId="0" xfId="23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23" applyFont="1" applyAlignment="1">
      <alignment horizontal="right"/>
    </xf>
    <xf numFmtId="0" fontId="1" fillId="0" borderId="0" xfId="23" applyFont="1" applyFill="1" applyAlignment="1">
      <alignment horizontal="right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normal_studs2" xfId="24"/>
    <cellStyle name="Normal_studs2_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stud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"/>
      <sheetName val="OnFarmStud"/>
      <sheetName val="FeeForService"/>
      <sheetName val="CommercialStud"/>
      <sheetName val="Summary"/>
      <sheetName val="SEW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50"/>
  <sheetViews>
    <sheetView tabSelected="1" showOutlineSymbols="0" workbookViewId="0" topLeftCell="A1">
      <selection activeCell="B7" sqref="B7"/>
    </sheetView>
  </sheetViews>
  <sheetFormatPr defaultColWidth="9.140625" defaultRowHeight="12.75"/>
  <cols>
    <col min="1" max="1" width="54.140625" style="0" customWidth="1"/>
    <col min="2" max="2" width="11.140625" style="13" customWidth="1"/>
    <col min="3" max="3" width="12.8515625" style="13" customWidth="1"/>
    <col min="5" max="5" width="11.140625" style="0" customWidth="1"/>
  </cols>
  <sheetData>
    <row r="1" spans="1:21" ht="15.75">
      <c r="A1" s="1" t="s">
        <v>300</v>
      </c>
      <c r="B1"/>
      <c r="C1" s="13" t="s">
        <v>480</v>
      </c>
      <c r="E1" s="2" t="s">
        <v>485</v>
      </c>
      <c r="F1" s="2" t="s">
        <v>485</v>
      </c>
      <c r="G1" s="2" t="s">
        <v>485</v>
      </c>
      <c r="H1" s="2" t="s">
        <v>485</v>
      </c>
      <c r="I1" s="2" t="s">
        <v>485</v>
      </c>
      <c r="J1" s="2" t="s">
        <v>485</v>
      </c>
      <c r="K1" s="2" t="s">
        <v>485</v>
      </c>
      <c r="L1" s="2" t="s">
        <v>485</v>
      </c>
      <c r="M1" s="2" t="s">
        <v>485</v>
      </c>
      <c r="N1" s="2" t="s">
        <v>485</v>
      </c>
      <c r="O1" s="2" t="s">
        <v>485</v>
      </c>
      <c r="P1" s="2" t="s">
        <v>485</v>
      </c>
      <c r="Q1" s="2" t="s">
        <v>485</v>
      </c>
      <c r="R1" s="2" t="s">
        <v>485</v>
      </c>
      <c r="S1" s="2" t="s">
        <v>485</v>
      </c>
      <c r="T1" s="2" t="s">
        <v>485</v>
      </c>
      <c r="U1" s="2" t="s">
        <v>485</v>
      </c>
    </row>
    <row r="2" spans="1:21" ht="12.75">
      <c r="A2" s="3"/>
      <c r="B2" s="43"/>
      <c r="C2" s="43"/>
      <c r="D2" s="8"/>
      <c r="E2" s="2" t="s">
        <v>486</v>
      </c>
      <c r="F2" s="2" t="s">
        <v>490</v>
      </c>
      <c r="G2" s="2" t="s">
        <v>491</v>
      </c>
      <c r="H2" s="2" t="s">
        <v>492</v>
      </c>
      <c r="I2" s="2" t="s">
        <v>493</v>
      </c>
      <c r="J2" s="2" t="s">
        <v>494</v>
      </c>
      <c r="K2" s="2" t="s">
        <v>495</v>
      </c>
      <c r="L2" s="2" t="s">
        <v>496</v>
      </c>
      <c r="M2" s="2" t="s">
        <v>497</v>
      </c>
      <c r="N2" s="2" t="s">
        <v>498</v>
      </c>
      <c r="O2" s="2" t="s">
        <v>499</v>
      </c>
      <c r="P2" s="2" t="s">
        <v>500</v>
      </c>
      <c r="Q2" s="2" t="s">
        <v>501</v>
      </c>
      <c r="R2" s="2" t="s">
        <v>502</v>
      </c>
      <c r="S2" s="2" t="s">
        <v>504</v>
      </c>
      <c r="T2" s="2" t="s">
        <v>505</v>
      </c>
      <c r="U2" s="2" t="s">
        <v>507</v>
      </c>
    </row>
    <row r="3" spans="1:21" ht="12.75">
      <c r="A3" s="4" t="s">
        <v>301</v>
      </c>
      <c r="B3" s="65" t="s">
        <v>478</v>
      </c>
      <c r="C3" s="65" t="s">
        <v>481</v>
      </c>
      <c r="E3" s="75">
        <v>0.6</v>
      </c>
      <c r="F3" s="76">
        <v>1</v>
      </c>
      <c r="G3" s="76">
        <v>0.998</v>
      </c>
      <c r="H3" s="76">
        <v>0.946</v>
      </c>
      <c r="I3" s="76">
        <v>0.84</v>
      </c>
      <c r="J3" s="76">
        <v>0.82</v>
      </c>
      <c r="K3" s="76">
        <v>0.78</v>
      </c>
      <c r="L3" s="76">
        <v>0.76</v>
      </c>
      <c r="M3" s="76">
        <v>0.74</v>
      </c>
      <c r="N3" s="76">
        <v>0.72</v>
      </c>
      <c r="O3" s="76">
        <v>0.71</v>
      </c>
      <c r="P3" s="76">
        <v>0.69</v>
      </c>
      <c r="Q3" s="76">
        <v>0.67</v>
      </c>
      <c r="R3" s="76">
        <v>0.66</v>
      </c>
      <c r="S3" s="76">
        <v>0.64</v>
      </c>
      <c r="T3" s="76">
        <v>0.62</v>
      </c>
      <c r="U3" s="76">
        <v>0.6</v>
      </c>
    </row>
    <row r="4" spans="1:21" ht="12.75">
      <c r="A4" s="122"/>
      <c r="B4" s="65" t="s">
        <v>479</v>
      </c>
      <c r="C4" s="65" t="s">
        <v>482</v>
      </c>
      <c r="E4" s="75">
        <v>0.65</v>
      </c>
      <c r="F4" s="76">
        <v>1</v>
      </c>
      <c r="G4" s="76">
        <v>0.998</v>
      </c>
      <c r="H4" s="76">
        <v>0.956</v>
      </c>
      <c r="I4" s="76">
        <v>0.86</v>
      </c>
      <c r="J4" s="76">
        <v>0.84</v>
      </c>
      <c r="K4" s="76">
        <v>0.8</v>
      </c>
      <c r="L4" s="76">
        <v>0.78</v>
      </c>
      <c r="M4" s="76">
        <v>0.76</v>
      </c>
      <c r="N4" s="76">
        <v>0.74</v>
      </c>
      <c r="O4" s="76">
        <v>0.72</v>
      </c>
      <c r="P4" s="76">
        <v>0.7</v>
      </c>
      <c r="Q4" s="76">
        <v>0.69</v>
      </c>
      <c r="R4" s="76">
        <v>0.68</v>
      </c>
      <c r="S4" s="76">
        <v>0.67</v>
      </c>
      <c r="T4" s="76">
        <v>0.66</v>
      </c>
      <c r="U4" s="76">
        <v>0.65</v>
      </c>
    </row>
    <row r="5" spans="1:21" ht="12.75">
      <c r="A5" s="122"/>
      <c r="B5" s="108" t="s">
        <v>800</v>
      </c>
      <c r="C5" s="108" t="s">
        <v>800</v>
      </c>
      <c r="E5" s="75">
        <v>0.7</v>
      </c>
      <c r="F5" s="76">
        <v>1</v>
      </c>
      <c r="G5" s="76">
        <v>0.991</v>
      </c>
      <c r="H5" s="76">
        <v>0.915</v>
      </c>
      <c r="I5" s="76">
        <v>0.821</v>
      </c>
      <c r="J5" s="76">
        <v>0.779</v>
      </c>
      <c r="K5" s="76">
        <v>0.764</v>
      </c>
      <c r="L5" s="76">
        <v>0.748</v>
      </c>
      <c r="M5" s="76">
        <v>0.748</v>
      </c>
      <c r="N5" s="76">
        <v>0.748</v>
      </c>
      <c r="O5" s="76">
        <v>0.744</v>
      </c>
      <c r="P5" s="76">
        <v>0.738</v>
      </c>
      <c r="Q5" s="76">
        <v>0.738</v>
      </c>
      <c r="R5" s="76">
        <v>0.738</v>
      </c>
      <c r="S5" s="76">
        <v>0.722</v>
      </c>
      <c r="T5" s="76">
        <v>0.71</v>
      </c>
      <c r="U5" s="76">
        <v>0.706</v>
      </c>
    </row>
    <row r="6" spans="1:21" ht="12.75">
      <c r="A6" s="122" t="s">
        <v>302</v>
      </c>
      <c r="B6" s="64">
        <v>365</v>
      </c>
      <c r="C6" s="66">
        <v>365</v>
      </c>
      <c r="E6" s="75">
        <v>0.75</v>
      </c>
      <c r="F6" s="76">
        <v>1</v>
      </c>
      <c r="G6" s="76">
        <v>0.998</v>
      </c>
      <c r="H6" s="76">
        <v>0.9</v>
      </c>
      <c r="I6" s="76">
        <v>0.88</v>
      </c>
      <c r="J6" s="76">
        <v>0.86</v>
      </c>
      <c r="K6" s="76">
        <v>0.85</v>
      </c>
      <c r="L6" s="76">
        <v>0.84</v>
      </c>
      <c r="M6" s="76">
        <v>0.83</v>
      </c>
      <c r="N6" s="76">
        <v>0.82</v>
      </c>
      <c r="O6" s="76">
        <v>0.81</v>
      </c>
      <c r="P6" s="76">
        <v>0.8</v>
      </c>
      <c r="Q6" s="76">
        <v>0.79</v>
      </c>
      <c r="R6" s="76">
        <v>0.78</v>
      </c>
      <c r="S6" s="76">
        <v>0.77</v>
      </c>
      <c r="T6" s="76">
        <v>0.76</v>
      </c>
      <c r="U6" s="76">
        <v>0.75</v>
      </c>
    </row>
    <row r="7" spans="1:21" ht="12.75">
      <c r="A7" s="124"/>
      <c r="B7" s="95"/>
      <c r="C7" s="95"/>
      <c r="E7" s="75">
        <v>0.835</v>
      </c>
      <c r="F7" s="76">
        <v>1</v>
      </c>
      <c r="G7" s="76">
        <v>1</v>
      </c>
      <c r="H7" s="76">
        <v>0.985</v>
      </c>
      <c r="I7" s="76">
        <v>0.97</v>
      </c>
      <c r="J7" s="76">
        <v>0.925</v>
      </c>
      <c r="K7" s="76">
        <v>0.925</v>
      </c>
      <c r="L7" s="76">
        <v>0.91</v>
      </c>
      <c r="M7" s="76">
        <v>0.91</v>
      </c>
      <c r="N7" s="76">
        <v>0.895</v>
      </c>
      <c r="O7" s="76">
        <v>0.895</v>
      </c>
      <c r="P7" s="76">
        <v>0.89</v>
      </c>
      <c r="Q7" s="76">
        <v>0.88</v>
      </c>
      <c r="R7" s="76">
        <v>0.87</v>
      </c>
      <c r="S7" s="76">
        <v>0.85</v>
      </c>
      <c r="T7" s="76">
        <v>0.84</v>
      </c>
      <c r="U7" s="76">
        <v>0.835</v>
      </c>
    </row>
    <row r="8" spans="1:21" ht="12.75">
      <c r="A8" s="122" t="s">
        <v>303</v>
      </c>
      <c r="B8" s="95"/>
      <c r="C8" s="95"/>
      <c r="E8" s="75">
        <v>0.847</v>
      </c>
      <c r="F8" s="76">
        <v>1</v>
      </c>
      <c r="G8" s="76">
        <v>0.998</v>
      </c>
      <c r="H8" s="76">
        <v>0.98</v>
      </c>
      <c r="I8" s="76">
        <v>0.87</v>
      </c>
      <c r="J8" s="76">
        <v>0.86</v>
      </c>
      <c r="K8" s="76">
        <v>0.86</v>
      </c>
      <c r="L8" s="76">
        <v>0.86</v>
      </c>
      <c r="M8" s="76">
        <v>0.86</v>
      </c>
      <c r="N8" s="76">
        <v>0.86</v>
      </c>
      <c r="O8" s="76">
        <v>0.85</v>
      </c>
      <c r="P8" s="76">
        <v>0.85</v>
      </c>
      <c r="Q8" s="76">
        <v>0.85</v>
      </c>
      <c r="R8" s="76">
        <v>0.85</v>
      </c>
      <c r="S8" s="76">
        <v>0.85</v>
      </c>
      <c r="T8" s="76">
        <v>0.85</v>
      </c>
      <c r="U8" s="76">
        <v>0.847</v>
      </c>
    </row>
    <row r="9" spans="1:21" ht="12.75">
      <c r="A9" t="s">
        <v>773</v>
      </c>
      <c r="B9" s="94"/>
      <c r="C9" s="94"/>
      <c r="E9" s="75">
        <v>0.9</v>
      </c>
      <c r="F9" s="76">
        <v>1</v>
      </c>
      <c r="G9" s="76">
        <v>1</v>
      </c>
      <c r="H9" s="76">
        <v>0.98</v>
      </c>
      <c r="I9" s="76">
        <v>0.97</v>
      </c>
      <c r="J9" s="76">
        <v>0.96</v>
      </c>
      <c r="K9" s="76">
        <v>0.95</v>
      </c>
      <c r="L9" s="76">
        <v>0.94</v>
      </c>
      <c r="M9" s="76">
        <v>0.93</v>
      </c>
      <c r="N9" s="76">
        <v>0.92</v>
      </c>
      <c r="O9" s="76">
        <v>0.91</v>
      </c>
      <c r="P9" s="76">
        <v>0.9</v>
      </c>
      <c r="Q9" s="76">
        <v>0.9</v>
      </c>
      <c r="R9" s="76">
        <v>0.9</v>
      </c>
      <c r="S9" s="76">
        <v>0.9</v>
      </c>
      <c r="T9" s="76">
        <v>0.9</v>
      </c>
      <c r="U9" s="76">
        <v>0.9</v>
      </c>
    </row>
    <row r="10" spans="1:4" ht="12.75">
      <c r="A10" t="s">
        <v>304</v>
      </c>
      <c r="B10" s="67">
        <v>10.5</v>
      </c>
      <c r="C10" s="67">
        <v>10.5</v>
      </c>
      <c r="D10" s="10"/>
    </row>
    <row r="11" spans="1:21" ht="12.75">
      <c r="A11" t="s">
        <v>774</v>
      </c>
      <c r="B11" s="67">
        <v>9</v>
      </c>
      <c r="C11" s="67">
        <v>9</v>
      </c>
      <c r="E11" s="2" t="s">
        <v>487</v>
      </c>
      <c r="F11" s="2" t="s">
        <v>487</v>
      </c>
      <c r="G11" s="2" t="s">
        <v>487</v>
      </c>
      <c r="H11" s="2" t="s">
        <v>487</v>
      </c>
      <c r="I11" s="2" t="s">
        <v>487</v>
      </c>
      <c r="J11" s="2" t="s">
        <v>487</v>
      </c>
      <c r="K11" s="2" t="s">
        <v>487</v>
      </c>
      <c r="L11" s="2" t="s">
        <v>487</v>
      </c>
      <c r="M11" s="2" t="s">
        <v>487</v>
      </c>
      <c r="N11" s="2" t="s">
        <v>487</v>
      </c>
      <c r="O11" s="2" t="s">
        <v>487</v>
      </c>
      <c r="P11" s="2" t="s">
        <v>487</v>
      </c>
      <c r="Q11" s="2" t="s">
        <v>487</v>
      </c>
      <c r="R11" s="2" t="s">
        <v>487</v>
      </c>
      <c r="S11" s="2" t="s">
        <v>487</v>
      </c>
      <c r="T11" s="2" t="s">
        <v>487</v>
      </c>
      <c r="U11" s="2" t="s">
        <v>487</v>
      </c>
    </row>
    <row r="12" spans="1:21" ht="12.75">
      <c r="A12" t="s">
        <v>777</v>
      </c>
      <c r="B12" s="68">
        <v>0.04</v>
      </c>
      <c r="C12" s="68">
        <v>0.04</v>
      </c>
      <c r="E12" s="2" t="s">
        <v>486</v>
      </c>
      <c r="F12" s="2" t="s">
        <v>490</v>
      </c>
      <c r="G12" s="2" t="s">
        <v>491</v>
      </c>
      <c r="H12" s="2" t="s">
        <v>492</v>
      </c>
      <c r="I12" s="2" t="s">
        <v>493</v>
      </c>
      <c r="J12" s="2" t="s">
        <v>494</v>
      </c>
      <c r="K12" s="2" t="s">
        <v>495</v>
      </c>
      <c r="L12" s="2" t="s">
        <v>496</v>
      </c>
      <c r="M12" s="2" t="s">
        <v>497</v>
      </c>
      <c r="N12" s="2" t="s">
        <v>498</v>
      </c>
      <c r="O12" s="2" t="s">
        <v>499</v>
      </c>
      <c r="P12" s="2" t="s">
        <v>500</v>
      </c>
      <c r="Q12" s="2" t="s">
        <v>501</v>
      </c>
      <c r="R12" s="2" t="s">
        <v>502</v>
      </c>
      <c r="S12" s="2" t="s">
        <v>504</v>
      </c>
      <c r="T12" s="2" t="s">
        <v>505</v>
      </c>
      <c r="U12" s="2" t="s">
        <v>507</v>
      </c>
    </row>
    <row r="13" spans="1:21" ht="12.75">
      <c r="A13" t="s">
        <v>312</v>
      </c>
      <c r="B13" s="68">
        <v>0.91</v>
      </c>
      <c r="C13" s="68">
        <v>0.91</v>
      </c>
      <c r="E13" s="75">
        <v>0.6</v>
      </c>
      <c r="F13" s="76">
        <v>1</v>
      </c>
      <c r="G13" s="76">
        <v>0.998</v>
      </c>
      <c r="H13" s="76">
        <v>0.946</v>
      </c>
      <c r="I13" s="76">
        <v>0.84</v>
      </c>
      <c r="J13" s="76">
        <v>0.82</v>
      </c>
      <c r="K13" s="76">
        <v>0.78</v>
      </c>
      <c r="L13" s="76">
        <v>0.76</v>
      </c>
      <c r="M13" s="76">
        <v>0.74</v>
      </c>
      <c r="N13" s="76">
        <v>0.72</v>
      </c>
      <c r="O13" s="76">
        <v>0.71</v>
      </c>
      <c r="P13" s="76">
        <v>0.69</v>
      </c>
      <c r="Q13" s="76">
        <v>0.67</v>
      </c>
      <c r="R13" s="76">
        <v>0.66</v>
      </c>
      <c r="S13" s="76">
        <v>0.64</v>
      </c>
      <c r="T13" s="76">
        <v>0.62</v>
      </c>
      <c r="U13" s="76">
        <v>0.6</v>
      </c>
    </row>
    <row r="14" spans="1:21" ht="12.75">
      <c r="A14" t="s">
        <v>313</v>
      </c>
      <c r="B14" s="69">
        <v>0.975</v>
      </c>
      <c r="C14" s="69">
        <v>0.975</v>
      </c>
      <c r="E14" s="75">
        <v>0.65</v>
      </c>
      <c r="F14" s="76">
        <v>1</v>
      </c>
      <c r="G14" s="76">
        <v>0.998</v>
      </c>
      <c r="H14" s="76">
        <v>0.956</v>
      </c>
      <c r="I14" s="76">
        <v>0.86</v>
      </c>
      <c r="J14" s="76">
        <v>0.84</v>
      </c>
      <c r="K14" s="76">
        <v>0.8</v>
      </c>
      <c r="L14" s="76">
        <v>0.78</v>
      </c>
      <c r="M14" s="76">
        <v>0.76</v>
      </c>
      <c r="N14" s="76">
        <v>0.74</v>
      </c>
      <c r="O14" s="76">
        <v>0.72</v>
      </c>
      <c r="P14" s="76">
        <v>0.7</v>
      </c>
      <c r="Q14" s="76">
        <v>0.69</v>
      </c>
      <c r="R14" s="76">
        <v>0.68</v>
      </c>
      <c r="S14" s="76">
        <v>0.67</v>
      </c>
      <c r="T14" s="76">
        <v>0.66</v>
      </c>
      <c r="U14" s="76">
        <v>0.65</v>
      </c>
    </row>
    <row r="15" spans="1:21" ht="12.75">
      <c r="A15" t="s">
        <v>314</v>
      </c>
      <c r="B15" s="70">
        <v>114</v>
      </c>
      <c r="C15" s="70">
        <v>114</v>
      </c>
      <c r="E15" s="75">
        <v>0.7</v>
      </c>
      <c r="F15" s="76">
        <v>1</v>
      </c>
      <c r="G15" s="76">
        <v>0.998</v>
      </c>
      <c r="H15" s="76">
        <v>0.946</v>
      </c>
      <c r="I15" s="76">
        <v>0.85</v>
      </c>
      <c r="J15" s="76">
        <v>0.811</v>
      </c>
      <c r="K15" s="76">
        <v>0.8</v>
      </c>
      <c r="L15" s="76">
        <v>0.79</v>
      </c>
      <c r="M15" s="76">
        <v>0.78</v>
      </c>
      <c r="N15" s="76">
        <v>0.77</v>
      </c>
      <c r="O15" s="76">
        <v>0.76</v>
      </c>
      <c r="P15" s="76">
        <v>0.75</v>
      </c>
      <c r="Q15" s="76">
        <v>0.74</v>
      </c>
      <c r="R15" s="76">
        <v>0.73</v>
      </c>
      <c r="S15" s="76">
        <v>0.72</v>
      </c>
      <c r="T15" s="76">
        <v>0.71</v>
      </c>
      <c r="U15" s="76">
        <v>0.7</v>
      </c>
    </row>
    <row r="16" spans="1:21" ht="12.75">
      <c r="A16" t="s">
        <v>315</v>
      </c>
      <c r="B16" s="71">
        <v>4</v>
      </c>
      <c r="C16" s="71">
        <v>4</v>
      </c>
      <c r="E16" s="75">
        <v>0.75</v>
      </c>
      <c r="F16" s="76">
        <v>1</v>
      </c>
      <c r="G16" s="76">
        <v>0.998</v>
      </c>
      <c r="H16" s="76">
        <v>0.9</v>
      </c>
      <c r="I16" s="76">
        <v>0.88</v>
      </c>
      <c r="J16" s="76">
        <v>0.86</v>
      </c>
      <c r="K16" s="76">
        <v>0.85</v>
      </c>
      <c r="L16" s="76">
        <v>0.84</v>
      </c>
      <c r="M16" s="76">
        <v>0.83</v>
      </c>
      <c r="N16" s="76">
        <v>0.82</v>
      </c>
      <c r="O16" s="76">
        <v>0.81</v>
      </c>
      <c r="P16" s="76">
        <v>0.8</v>
      </c>
      <c r="Q16" s="76">
        <v>0.79</v>
      </c>
      <c r="R16" s="76">
        <v>0.78</v>
      </c>
      <c r="S16" s="76">
        <v>0.77</v>
      </c>
      <c r="T16" s="76">
        <v>0.76</v>
      </c>
      <c r="U16" s="76">
        <v>0.75</v>
      </c>
    </row>
    <row r="17" spans="1:21" ht="12.75">
      <c r="A17" t="s">
        <v>316</v>
      </c>
      <c r="B17" s="72">
        <v>0.835</v>
      </c>
      <c r="C17" s="72">
        <v>0.835</v>
      </c>
      <c r="D17" s="8"/>
      <c r="E17" s="75">
        <v>0.835</v>
      </c>
      <c r="F17" s="76">
        <v>1</v>
      </c>
      <c r="G17" s="76">
        <v>1</v>
      </c>
      <c r="H17" s="76">
        <v>0.985</v>
      </c>
      <c r="I17" s="76">
        <v>0.97</v>
      </c>
      <c r="J17" s="76">
        <v>0.925</v>
      </c>
      <c r="K17" s="76">
        <v>0.925</v>
      </c>
      <c r="L17" s="76">
        <v>0.91</v>
      </c>
      <c r="M17" s="76">
        <v>0.91</v>
      </c>
      <c r="N17" s="76">
        <v>0.895</v>
      </c>
      <c r="O17" s="76">
        <v>0.895</v>
      </c>
      <c r="P17" s="76">
        <v>0.89</v>
      </c>
      <c r="Q17" s="76">
        <v>0.88</v>
      </c>
      <c r="R17" s="76">
        <v>0.87</v>
      </c>
      <c r="S17" s="76">
        <v>0.85</v>
      </c>
      <c r="T17" s="76">
        <v>0.84</v>
      </c>
      <c r="U17" s="76">
        <v>0.835</v>
      </c>
    </row>
    <row r="18" spans="1:21" ht="12.75">
      <c r="A18" t="s">
        <v>317</v>
      </c>
      <c r="B18" s="73">
        <v>0.4</v>
      </c>
      <c r="C18" s="73">
        <v>0.4</v>
      </c>
      <c r="D18" s="9"/>
      <c r="E18" s="75">
        <v>0.847</v>
      </c>
      <c r="F18" s="76">
        <v>1</v>
      </c>
      <c r="G18" s="76">
        <v>0.998</v>
      </c>
      <c r="H18" s="76">
        <v>0.98</v>
      </c>
      <c r="I18" s="76">
        <v>0.87</v>
      </c>
      <c r="J18" s="76">
        <v>0.86</v>
      </c>
      <c r="K18" s="76">
        <v>0.86</v>
      </c>
      <c r="L18" s="76">
        <v>0.86</v>
      </c>
      <c r="M18" s="76">
        <v>0.86</v>
      </c>
      <c r="N18" s="76">
        <v>0.86</v>
      </c>
      <c r="O18" s="76">
        <v>0.85</v>
      </c>
      <c r="P18" s="76">
        <v>0.85</v>
      </c>
      <c r="Q18" s="76">
        <v>0.85</v>
      </c>
      <c r="R18" s="76">
        <v>0.85</v>
      </c>
      <c r="S18" s="76">
        <v>0.85</v>
      </c>
      <c r="T18" s="76">
        <v>0.85</v>
      </c>
      <c r="U18" s="76">
        <v>0.847</v>
      </c>
    </row>
    <row r="19" spans="2:21" ht="12.75">
      <c r="B19" s="95"/>
      <c r="C19" s="95"/>
      <c r="D19" s="5"/>
      <c r="E19" s="75">
        <v>0.9</v>
      </c>
      <c r="F19" s="76">
        <v>1</v>
      </c>
      <c r="G19" s="76">
        <v>1</v>
      </c>
      <c r="H19" s="76">
        <v>0.98</v>
      </c>
      <c r="I19" s="76">
        <v>0.97</v>
      </c>
      <c r="J19" s="76">
        <v>0.96</v>
      </c>
      <c r="K19" s="76">
        <v>0.95</v>
      </c>
      <c r="L19" s="76">
        <v>0.94</v>
      </c>
      <c r="M19" s="76">
        <v>0.93</v>
      </c>
      <c r="N19" s="76">
        <v>0.92</v>
      </c>
      <c r="O19" s="76">
        <v>0.91</v>
      </c>
      <c r="P19" s="76">
        <v>0.9</v>
      </c>
      <c r="Q19" s="76">
        <v>0.9</v>
      </c>
      <c r="R19" s="76">
        <v>0.9</v>
      </c>
      <c r="S19" s="76">
        <v>0.9</v>
      </c>
      <c r="T19" s="76">
        <v>0.9</v>
      </c>
      <c r="U19" s="76">
        <v>0.9</v>
      </c>
    </row>
    <row r="20" spans="1:3" ht="12.75">
      <c r="A20" s="4" t="s">
        <v>318</v>
      </c>
      <c r="B20" s="95"/>
      <c r="C20" s="95"/>
    </row>
    <row r="21" spans="1:3" ht="12.75">
      <c r="A21" t="s">
        <v>319</v>
      </c>
      <c r="B21" s="66">
        <v>7</v>
      </c>
      <c r="C21" s="66">
        <v>7</v>
      </c>
    </row>
    <row r="22" spans="1:5" ht="12.75">
      <c r="A22" t="s">
        <v>320</v>
      </c>
      <c r="B22" s="71">
        <v>4</v>
      </c>
      <c r="C22" s="71">
        <v>3</v>
      </c>
      <c r="E22" s="2" t="s">
        <v>485</v>
      </c>
    </row>
    <row r="23" spans="1:21" ht="12.75">
      <c r="A23" t="s">
        <v>701</v>
      </c>
      <c r="B23" s="66">
        <v>23</v>
      </c>
      <c r="C23" s="66">
        <v>23</v>
      </c>
      <c r="E23" s="12" t="s">
        <v>488</v>
      </c>
      <c r="F23" s="2" t="s">
        <v>490</v>
      </c>
      <c r="G23" s="2" t="s">
        <v>491</v>
      </c>
      <c r="H23" s="2" t="s">
        <v>492</v>
      </c>
      <c r="I23" s="2" t="s">
        <v>493</v>
      </c>
      <c r="J23" s="2" t="s">
        <v>494</v>
      </c>
      <c r="K23" s="2" t="s">
        <v>495</v>
      </c>
      <c r="L23" s="2" t="s">
        <v>496</v>
      </c>
      <c r="M23" s="2" t="s">
        <v>497</v>
      </c>
      <c r="N23" s="2" t="s">
        <v>498</v>
      </c>
      <c r="O23" s="2" t="s">
        <v>499</v>
      </c>
      <c r="P23" s="2" t="s">
        <v>500</v>
      </c>
      <c r="Q23" s="2" t="s">
        <v>501</v>
      </c>
      <c r="R23" s="2" t="s">
        <v>503</v>
      </c>
      <c r="S23" s="2" t="s">
        <v>504</v>
      </c>
      <c r="T23" s="2" t="s">
        <v>505</v>
      </c>
      <c r="U23" s="2" t="s">
        <v>507</v>
      </c>
    </row>
    <row r="24" spans="1:21" ht="12.75">
      <c r="A24" t="s">
        <v>321</v>
      </c>
      <c r="B24" s="71">
        <v>8</v>
      </c>
      <c r="C24" s="71">
        <v>2</v>
      </c>
      <c r="E24" s="2" t="s">
        <v>489</v>
      </c>
      <c r="F24" s="2" t="s">
        <v>770</v>
      </c>
      <c r="G24" s="2" t="s">
        <v>842</v>
      </c>
      <c r="H24" s="2" t="s">
        <v>843</v>
      </c>
      <c r="I24" s="2" t="s">
        <v>844</v>
      </c>
      <c r="J24" s="2" t="s">
        <v>845</v>
      </c>
      <c r="K24" s="2" t="s">
        <v>846</v>
      </c>
      <c r="L24" s="2" t="s">
        <v>847</v>
      </c>
      <c r="M24" s="2" t="s">
        <v>848</v>
      </c>
      <c r="N24" s="2" t="s">
        <v>852</v>
      </c>
      <c r="O24" s="2" t="s">
        <v>853</v>
      </c>
      <c r="P24" s="2" t="s">
        <v>854</v>
      </c>
      <c r="Q24" s="2" t="s">
        <v>855</v>
      </c>
      <c r="R24" s="2" t="s">
        <v>856</v>
      </c>
      <c r="S24" s="2" t="s">
        <v>857</v>
      </c>
      <c r="T24" s="2" t="s">
        <v>858</v>
      </c>
      <c r="U24" s="2" t="s">
        <v>859</v>
      </c>
    </row>
    <row r="25" spans="1:21" ht="12.75">
      <c r="A25" t="s">
        <v>322</v>
      </c>
      <c r="B25" s="66">
        <v>20</v>
      </c>
      <c r="C25" s="66">
        <v>960</v>
      </c>
      <c r="D25" s="8"/>
      <c r="E25">
        <v>2</v>
      </c>
      <c r="F25">
        <f aca="true" t="shared" si="0" ref="F25:F35">B$77</f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137">
        <f>B$84</f>
        <v>0.91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323</v>
      </c>
      <c r="B26" s="70">
        <v>35</v>
      </c>
      <c r="C26" s="66">
        <v>7</v>
      </c>
      <c r="E26">
        <v>3</v>
      </c>
      <c r="F26">
        <f t="shared" si="0"/>
        <v>1</v>
      </c>
      <c r="G26">
        <v>0</v>
      </c>
      <c r="H26">
        <v>0</v>
      </c>
      <c r="I26">
        <v>0</v>
      </c>
      <c r="J26" s="137">
        <f>B$81</f>
        <v>0.925</v>
      </c>
      <c r="K26">
        <v>0</v>
      </c>
      <c r="L26">
        <v>0</v>
      </c>
      <c r="M26">
        <v>0</v>
      </c>
      <c r="N26">
        <v>0</v>
      </c>
      <c r="O26" s="137">
        <f>B$86</f>
        <v>0.895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681</v>
      </c>
      <c r="B27" s="174">
        <f>IF(B25/((B25*365)/((365/B26)*(B22+B23+B24)))&lt;=1,1,(B25/((B25*365)/((365/B26)*(B22+B23+B24)))))</f>
        <v>1</v>
      </c>
      <c r="C27" s="174">
        <f>IF(C25/((C25*365)/((365/C26)*(C22+C23+C24)))&lt;=1,1,(C25/((C25*365)/((365/C26)*(C22+C23+C24)))))</f>
        <v>4</v>
      </c>
      <c r="E27">
        <v>4</v>
      </c>
      <c r="F27">
        <f t="shared" si="0"/>
        <v>1</v>
      </c>
      <c r="G27">
        <v>0</v>
      </c>
      <c r="H27">
        <v>0</v>
      </c>
      <c r="I27" s="137">
        <f>B$80</f>
        <v>0.97</v>
      </c>
      <c r="J27">
        <v>0</v>
      </c>
      <c r="K27">
        <v>0</v>
      </c>
      <c r="L27">
        <v>0</v>
      </c>
      <c r="M27" s="137">
        <f>B$84</f>
        <v>0.91</v>
      </c>
      <c r="N27">
        <v>0</v>
      </c>
      <c r="O27">
        <v>0</v>
      </c>
      <c r="P27">
        <v>0</v>
      </c>
      <c r="Q27" s="137">
        <f>B$88</f>
        <v>0.88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324</v>
      </c>
      <c r="B28" s="72">
        <v>1</v>
      </c>
      <c r="C28" s="72">
        <v>1</v>
      </c>
      <c r="E28">
        <v>5</v>
      </c>
      <c r="F28">
        <f t="shared" si="0"/>
        <v>1</v>
      </c>
      <c r="G28">
        <v>0</v>
      </c>
      <c r="H28" s="137">
        <f>B$79</f>
        <v>0.985</v>
      </c>
      <c r="I28">
        <v>0</v>
      </c>
      <c r="J28">
        <v>0</v>
      </c>
      <c r="K28" s="137">
        <f>B$82</f>
        <v>0.925</v>
      </c>
      <c r="L28">
        <v>0</v>
      </c>
      <c r="M28">
        <v>0</v>
      </c>
      <c r="N28" s="137">
        <f>B$85</f>
        <v>0.895</v>
      </c>
      <c r="O28">
        <v>0</v>
      </c>
      <c r="P28">
        <v>0</v>
      </c>
      <c r="Q28" s="137">
        <f>B$88</f>
        <v>0.88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325</v>
      </c>
      <c r="B29" s="72">
        <v>1</v>
      </c>
      <c r="C29" s="72">
        <v>1</v>
      </c>
      <c r="E29">
        <v>6</v>
      </c>
      <c r="F29">
        <f t="shared" si="0"/>
        <v>1</v>
      </c>
      <c r="G29">
        <v>0</v>
      </c>
      <c r="H29" s="137">
        <f>B$79</f>
        <v>0.985</v>
      </c>
      <c r="I29">
        <v>0</v>
      </c>
      <c r="J29" s="137">
        <f>B$81</f>
        <v>0.925</v>
      </c>
      <c r="K29">
        <v>0</v>
      </c>
      <c r="L29" s="137">
        <f aca="true" t="shared" si="1" ref="L29:L37">B$83</f>
        <v>0.91</v>
      </c>
      <c r="M29">
        <v>0</v>
      </c>
      <c r="N29" s="137">
        <f>B$85</f>
        <v>0.895</v>
      </c>
      <c r="O29">
        <v>0</v>
      </c>
      <c r="P29" s="137">
        <f aca="true" t="shared" si="2" ref="P29:P37">B$87</f>
        <v>0.89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2:21" ht="12.75">
      <c r="B30" s="95"/>
      <c r="C30" s="95"/>
      <c r="E30" s="8">
        <v>7</v>
      </c>
      <c r="F30">
        <f t="shared" si="0"/>
        <v>1</v>
      </c>
      <c r="G30">
        <v>0</v>
      </c>
      <c r="H30" s="137">
        <f>B$79</f>
        <v>0.985</v>
      </c>
      <c r="I30">
        <v>0</v>
      </c>
      <c r="J30" s="137">
        <f>B$81</f>
        <v>0.925</v>
      </c>
      <c r="K30">
        <v>0</v>
      </c>
      <c r="L30" s="137">
        <f t="shared" si="1"/>
        <v>0.91</v>
      </c>
      <c r="M30">
        <v>0</v>
      </c>
      <c r="N30" s="137">
        <f>B$85</f>
        <v>0.895</v>
      </c>
      <c r="O30">
        <v>0</v>
      </c>
      <c r="P30" s="137">
        <f t="shared" si="2"/>
        <v>0.89</v>
      </c>
      <c r="Q30">
        <v>0</v>
      </c>
      <c r="R30" s="137">
        <f aca="true" t="shared" si="3" ref="R30:R37">B$89</f>
        <v>0.87</v>
      </c>
      <c r="S30">
        <v>0</v>
      </c>
      <c r="T30">
        <v>0</v>
      </c>
      <c r="U30">
        <v>0</v>
      </c>
    </row>
    <row r="31" spans="1:21" ht="12.75">
      <c r="A31" s="4" t="s">
        <v>326</v>
      </c>
      <c r="B31" s="95"/>
      <c r="C31" s="95"/>
      <c r="E31" s="5">
        <v>8</v>
      </c>
      <c r="F31">
        <f t="shared" si="0"/>
        <v>1</v>
      </c>
      <c r="G31">
        <v>0</v>
      </c>
      <c r="H31" s="137">
        <f>B$79</f>
        <v>0.985</v>
      </c>
      <c r="I31">
        <v>0</v>
      </c>
      <c r="J31" s="137">
        <f>B$81</f>
        <v>0.925</v>
      </c>
      <c r="K31">
        <v>0</v>
      </c>
      <c r="L31" s="137">
        <f t="shared" si="1"/>
        <v>0.91</v>
      </c>
      <c r="M31">
        <v>0</v>
      </c>
      <c r="N31" s="137">
        <f>B$85</f>
        <v>0.895</v>
      </c>
      <c r="O31">
        <v>0</v>
      </c>
      <c r="P31" s="137">
        <f t="shared" si="2"/>
        <v>0.89</v>
      </c>
      <c r="Q31">
        <v>0</v>
      </c>
      <c r="R31" s="137">
        <f t="shared" si="3"/>
        <v>0.87</v>
      </c>
      <c r="S31">
        <v>0</v>
      </c>
      <c r="T31" s="137">
        <f aca="true" t="shared" si="4" ref="T31:T37">B$91</f>
        <v>0.84</v>
      </c>
      <c r="U31">
        <v>0</v>
      </c>
    </row>
    <row r="32" spans="1:21" ht="12.75">
      <c r="A32" t="s">
        <v>327</v>
      </c>
      <c r="B32" s="113"/>
      <c r="C32" s="113"/>
      <c r="E32" s="5">
        <v>9</v>
      </c>
      <c r="F32">
        <f t="shared" si="0"/>
        <v>1</v>
      </c>
      <c r="G32">
        <v>0</v>
      </c>
      <c r="H32">
        <v>0</v>
      </c>
      <c r="I32" s="137">
        <f aca="true" t="shared" si="5" ref="I32:I37">B$80</f>
        <v>0.97</v>
      </c>
      <c r="J32">
        <v>0</v>
      </c>
      <c r="K32">
        <v>0</v>
      </c>
      <c r="L32" s="137">
        <f t="shared" si="1"/>
        <v>0.91</v>
      </c>
      <c r="M32">
        <v>0</v>
      </c>
      <c r="N32">
        <v>0</v>
      </c>
      <c r="O32" s="137">
        <f aca="true" t="shared" si="6" ref="O32:O37">B$86</f>
        <v>0.895</v>
      </c>
      <c r="P32" s="137">
        <f t="shared" si="2"/>
        <v>0.89</v>
      </c>
      <c r="Q32" s="137">
        <f aca="true" t="shared" si="7" ref="Q32:Q37">B$88</f>
        <v>0.88</v>
      </c>
      <c r="R32" s="137">
        <f t="shared" si="3"/>
        <v>0.87</v>
      </c>
      <c r="S32" s="137">
        <f aca="true" t="shared" si="8" ref="S32:S37">B$90</f>
        <v>0.85</v>
      </c>
      <c r="T32" s="137">
        <f t="shared" si="4"/>
        <v>0.84</v>
      </c>
      <c r="U32">
        <v>0</v>
      </c>
    </row>
    <row r="33" spans="1:21" ht="12.75">
      <c r="A33" t="s">
        <v>328</v>
      </c>
      <c r="B33" s="71">
        <v>0</v>
      </c>
      <c r="C33" s="71">
        <v>0</v>
      </c>
      <c r="E33">
        <v>10</v>
      </c>
      <c r="F33">
        <f t="shared" si="0"/>
        <v>1</v>
      </c>
      <c r="G33">
        <v>0</v>
      </c>
      <c r="H33">
        <v>0</v>
      </c>
      <c r="I33" s="137">
        <f t="shared" si="5"/>
        <v>0.97</v>
      </c>
      <c r="J33">
        <v>0</v>
      </c>
      <c r="K33">
        <v>0</v>
      </c>
      <c r="L33" s="137">
        <f t="shared" si="1"/>
        <v>0.91</v>
      </c>
      <c r="M33">
        <v>0</v>
      </c>
      <c r="N33">
        <v>0</v>
      </c>
      <c r="O33" s="137">
        <f t="shared" si="6"/>
        <v>0.895</v>
      </c>
      <c r="P33" s="137">
        <f t="shared" si="2"/>
        <v>0.89</v>
      </c>
      <c r="Q33" s="137">
        <f t="shared" si="7"/>
        <v>0.88</v>
      </c>
      <c r="R33" s="137">
        <f t="shared" si="3"/>
        <v>0.87</v>
      </c>
      <c r="S33" s="137">
        <f t="shared" si="8"/>
        <v>0.85</v>
      </c>
      <c r="T33" s="137">
        <f t="shared" si="4"/>
        <v>0.84</v>
      </c>
      <c r="U33" s="137">
        <f aca="true" t="shared" si="9" ref="U33:U38">B$92</f>
        <v>0.835</v>
      </c>
    </row>
    <row r="34" spans="1:21" ht="12.75">
      <c r="A34" t="s">
        <v>329</v>
      </c>
      <c r="B34" s="71">
        <v>2</v>
      </c>
      <c r="C34" s="71">
        <v>0</v>
      </c>
      <c r="E34">
        <v>11</v>
      </c>
      <c r="F34">
        <f t="shared" si="0"/>
        <v>1</v>
      </c>
      <c r="G34">
        <v>0</v>
      </c>
      <c r="H34">
        <v>0</v>
      </c>
      <c r="I34" s="137">
        <f t="shared" si="5"/>
        <v>0.97</v>
      </c>
      <c r="J34">
        <v>0</v>
      </c>
      <c r="K34">
        <v>0</v>
      </c>
      <c r="L34" s="137">
        <f t="shared" si="1"/>
        <v>0.91</v>
      </c>
      <c r="M34">
        <v>0</v>
      </c>
      <c r="N34" s="137">
        <f>B$85</f>
        <v>0.895</v>
      </c>
      <c r="O34" s="137">
        <f t="shared" si="6"/>
        <v>0.895</v>
      </c>
      <c r="P34" s="137">
        <f t="shared" si="2"/>
        <v>0.89</v>
      </c>
      <c r="Q34" s="137">
        <f t="shared" si="7"/>
        <v>0.88</v>
      </c>
      <c r="R34" s="137">
        <f t="shared" si="3"/>
        <v>0.87</v>
      </c>
      <c r="S34" s="137">
        <f t="shared" si="8"/>
        <v>0.85</v>
      </c>
      <c r="T34" s="137">
        <f t="shared" si="4"/>
        <v>0.84</v>
      </c>
      <c r="U34" s="137">
        <f t="shared" si="9"/>
        <v>0.835</v>
      </c>
    </row>
    <row r="35" spans="1:21" ht="12.75">
      <c r="A35" t="s">
        <v>330</v>
      </c>
      <c r="B35" s="71">
        <v>0</v>
      </c>
      <c r="C35" s="71">
        <v>2</v>
      </c>
      <c r="E35">
        <v>13</v>
      </c>
      <c r="F35">
        <f t="shared" si="0"/>
        <v>1</v>
      </c>
      <c r="G35">
        <v>0</v>
      </c>
      <c r="H35">
        <v>0</v>
      </c>
      <c r="I35" s="137">
        <f t="shared" si="5"/>
        <v>0.97</v>
      </c>
      <c r="J35">
        <v>0</v>
      </c>
      <c r="K35" s="137">
        <f>B$82</f>
        <v>0.925</v>
      </c>
      <c r="L35" s="137">
        <f t="shared" si="1"/>
        <v>0.91</v>
      </c>
      <c r="M35" s="137">
        <f>B$84</f>
        <v>0.91</v>
      </c>
      <c r="N35" s="137">
        <f>B$85</f>
        <v>0.895</v>
      </c>
      <c r="O35" s="137">
        <f t="shared" si="6"/>
        <v>0.895</v>
      </c>
      <c r="P35" s="137">
        <f t="shared" si="2"/>
        <v>0.89</v>
      </c>
      <c r="Q35" s="137">
        <f t="shared" si="7"/>
        <v>0.88</v>
      </c>
      <c r="R35" s="137">
        <f t="shared" si="3"/>
        <v>0.87</v>
      </c>
      <c r="S35" s="137">
        <f t="shared" si="8"/>
        <v>0.85</v>
      </c>
      <c r="T35" s="137">
        <f t="shared" si="4"/>
        <v>0.84</v>
      </c>
      <c r="U35" s="137">
        <f t="shared" si="9"/>
        <v>0.835</v>
      </c>
    </row>
    <row r="36" spans="1:21" ht="12.75">
      <c r="A36" t="s">
        <v>331</v>
      </c>
      <c r="B36" s="71">
        <v>5</v>
      </c>
      <c r="C36" s="71">
        <v>5</v>
      </c>
      <c r="E36">
        <v>14</v>
      </c>
      <c r="F36">
        <f>B$77</f>
        <v>1</v>
      </c>
      <c r="G36">
        <v>0</v>
      </c>
      <c r="H36">
        <v>0</v>
      </c>
      <c r="I36" s="137">
        <f t="shared" si="5"/>
        <v>0.97</v>
      </c>
      <c r="J36" s="137">
        <f>B$81</f>
        <v>0.925</v>
      </c>
      <c r="K36" s="137">
        <f>B$82</f>
        <v>0.925</v>
      </c>
      <c r="L36" s="137">
        <f t="shared" si="1"/>
        <v>0.91</v>
      </c>
      <c r="M36" s="137">
        <f>B$84</f>
        <v>0.91</v>
      </c>
      <c r="N36" s="137">
        <f>B$85</f>
        <v>0.895</v>
      </c>
      <c r="O36" s="137">
        <f t="shared" si="6"/>
        <v>0.895</v>
      </c>
      <c r="P36" s="137">
        <f t="shared" si="2"/>
        <v>0.89</v>
      </c>
      <c r="Q36" s="137">
        <f t="shared" si="7"/>
        <v>0.88</v>
      </c>
      <c r="R36" s="137">
        <f t="shared" si="3"/>
        <v>0.87</v>
      </c>
      <c r="S36" s="137">
        <f t="shared" si="8"/>
        <v>0.85</v>
      </c>
      <c r="T36" s="137">
        <f t="shared" si="4"/>
        <v>0.84</v>
      </c>
      <c r="U36" s="137">
        <f t="shared" si="9"/>
        <v>0.835</v>
      </c>
    </row>
    <row r="37" spans="1:21" ht="12.75">
      <c r="A37" t="s">
        <v>332</v>
      </c>
      <c r="B37" s="73">
        <v>0.9</v>
      </c>
      <c r="C37" s="73">
        <v>0.9</v>
      </c>
      <c r="E37" s="8">
        <v>15</v>
      </c>
      <c r="F37">
        <f>B$77</f>
        <v>1</v>
      </c>
      <c r="G37">
        <v>0</v>
      </c>
      <c r="H37" s="137">
        <f>B$79</f>
        <v>0.985</v>
      </c>
      <c r="I37" s="137">
        <f t="shared" si="5"/>
        <v>0.97</v>
      </c>
      <c r="J37" s="137">
        <f>B$81</f>
        <v>0.925</v>
      </c>
      <c r="K37" s="137">
        <f>B$82</f>
        <v>0.925</v>
      </c>
      <c r="L37" s="137">
        <f t="shared" si="1"/>
        <v>0.91</v>
      </c>
      <c r="M37" s="137">
        <f>B$84</f>
        <v>0.91</v>
      </c>
      <c r="N37" s="137">
        <f>B$85</f>
        <v>0.895</v>
      </c>
      <c r="O37" s="137">
        <f t="shared" si="6"/>
        <v>0.895</v>
      </c>
      <c r="P37" s="137">
        <f t="shared" si="2"/>
        <v>0.89</v>
      </c>
      <c r="Q37" s="137">
        <f t="shared" si="7"/>
        <v>0.88</v>
      </c>
      <c r="R37" s="137">
        <f t="shared" si="3"/>
        <v>0.87</v>
      </c>
      <c r="S37" s="137">
        <f t="shared" si="8"/>
        <v>0.85</v>
      </c>
      <c r="T37" s="137">
        <f t="shared" si="4"/>
        <v>0.84</v>
      </c>
      <c r="U37" s="137">
        <f t="shared" si="9"/>
        <v>0.835</v>
      </c>
    </row>
    <row r="38" spans="1:21" ht="12.75">
      <c r="A38" t="s">
        <v>333</v>
      </c>
      <c r="B38" s="66">
        <v>2</v>
      </c>
      <c r="C38" s="66">
        <v>2</v>
      </c>
      <c r="E38">
        <v>16</v>
      </c>
      <c r="F38">
        <f>B$77</f>
        <v>1</v>
      </c>
      <c r="G38" s="137">
        <f>B78</f>
        <v>1</v>
      </c>
      <c r="H38" s="137">
        <f>B$79</f>
        <v>0.985</v>
      </c>
      <c r="I38" s="137">
        <f>B$80</f>
        <v>0.97</v>
      </c>
      <c r="J38" s="137">
        <f>B$81</f>
        <v>0.925</v>
      </c>
      <c r="K38" s="137">
        <f>B$82</f>
        <v>0.925</v>
      </c>
      <c r="L38" s="137">
        <f>B$83</f>
        <v>0.91</v>
      </c>
      <c r="M38" s="137">
        <f>B$84</f>
        <v>0.91</v>
      </c>
      <c r="N38" s="137">
        <f>B$85</f>
        <v>0.895</v>
      </c>
      <c r="O38" s="137">
        <f>B$86</f>
        <v>0.895</v>
      </c>
      <c r="P38" s="137">
        <f>B$87</f>
        <v>0.89</v>
      </c>
      <c r="Q38" s="137">
        <f>B$88</f>
        <v>0.88</v>
      </c>
      <c r="R38" s="137">
        <f>B$89</f>
        <v>0.87</v>
      </c>
      <c r="S38" s="137">
        <f>B$90</f>
        <v>0.85</v>
      </c>
      <c r="T38" s="137">
        <f>B$91</f>
        <v>0.84</v>
      </c>
      <c r="U38" s="137">
        <f t="shared" si="9"/>
        <v>0.835</v>
      </c>
    </row>
    <row r="39" spans="1:3" ht="12.75">
      <c r="A39" t="s">
        <v>334</v>
      </c>
      <c r="B39" s="74">
        <v>15</v>
      </c>
      <c r="C39" s="74">
        <v>15</v>
      </c>
    </row>
    <row r="40" spans="1:3" ht="12.75">
      <c r="A40" t="s">
        <v>335</v>
      </c>
      <c r="B40" s="69">
        <v>0.05</v>
      </c>
      <c r="C40" s="69">
        <v>0.05</v>
      </c>
    </row>
    <row r="41" spans="1:3" ht="12.75">
      <c r="A41" t="s">
        <v>336</v>
      </c>
      <c r="B41" s="95"/>
      <c r="C41" s="95"/>
    </row>
    <row r="42" spans="1:5" ht="12.75">
      <c r="A42" t="s">
        <v>337</v>
      </c>
      <c r="B42" s="66">
        <v>50</v>
      </c>
      <c r="C42" s="66">
        <v>50</v>
      </c>
      <c r="E42" s="2" t="s">
        <v>487</v>
      </c>
    </row>
    <row r="43" spans="1:21" ht="12.75">
      <c r="A43" t="s">
        <v>338</v>
      </c>
      <c r="B43" s="66">
        <v>200</v>
      </c>
      <c r="C43" s="66">
        <v>200</v>
      </c>
      <c r="E43" s="12" t="s">
        <v>488</v>
      </c>
      <c r="F43" s="2" t="s">
        <v>490</v>
      </c>
      <c r="G43" s="2" t="s">
        <v>491</v>
      </c>
      <c r="H43" s="2" t="s">
        <v>492</v>
      </c>
      <c r="I43" s="2" t="s">
        <v>493</v>
      </c>
      <c r="J43" s="2" t="s">
        <v>494</v>
      </c>
      <c r="K43" s="2" t="s">
        <v>495</v>
      </c>
      <c r="L43" s="2" t="s">
        <v>496</v>
      </c>
      <c r="M43" s="2" t="s">
        <v>497</v>
      </c>
      <c r="N43" s="2" t="s">
        <v>498</v>
      </c>
      <c r="O43" s="2" t="s">
        <v>499</v>
      </c>
      <c r="P43" s="2" t="s">
        <v>500</v>
      </c>
      <c r="Q43" s="2" t="s">
        <v>501</v>
      </c>
      <c r="R43" s="2" t="s">
        <v>503</v>
      </c>
      <c r="S43" s="2" t="s">
        <v>504</v>
      </c>
      <c r="T43" s="2" t="s">
        <v>505</v>
      </c>
      <c r="U43" s="2" t="s">
        <v>507</v>
      </c>
    </row>
    <row r="44" spans="1:21" ht="12.75">
      <c r="A44" t="s">
        <v>339</v>
      </c>
      <c r="B44" s="66">
        <v>60</v>
      </c>
      <c r="C44" s="66">
        <v>60</v>
      </c>
      <c r="E44" s="2" t="s">
        <v>489</v>
      </c>
      <c r="F44" s="2" t="s">
        <v>770</v>
      </c>
      <c r="G44" s="2" t="s">
        <v>842</v>
      </c>
      <c r="H44" s="2" t="s">
        <v>843</v>
      </c>
      <c r="I44" s="2" t="s">
        <v>844</v>
      </c>
      <c r="J44" s="2" t="s">
        <v>845</v>
      </c>
      <c r="K44" s="2" t="s">
        <v>846</v>
      </c>
      <c r="L44" s="2" t="s">
        <v>847</v>
      </c>
      <c r="M44" s="2" t="s">
        <v>848</v>
      </c>
      <c r="N44" s="2" t="s">
        <v>852</v>
      </c>
      <c r="O44" s="2" t="s">
        <v>853</v>
      </c>
      <c r="P44" s="2" t="s">
        <v>854</v>
      </c>
      <c r="Q44" s="2" t="s">
        <v>855</v>
      </c>
      <c r="R44" s="2" t="s">
        <v>856</v>
      </c>
      <c r="S44" s="2" t="s">
        <v>857</v>
      </c>
      <c r="T44" s="2" t="s">
        <v>858</v>
      </c>
      <c r="U44" s="2" t="s">
        <v>859</v>
      </c>
    </row>
    <row r="45" spans="1:21" ht="12.75">
      <c r="A45" t="s">
        <v>340</v>
      </c>
      <c r="B45" s="70">
        <v>60</v>
      </c>
      <c r="C45" s="70">
        <v>60</v>
      </c>
      <c r="E45">
        <v>2</v>
      </c>
      <c r="F45">
        <f aca="true" t="shared" si="10" ref="F45:F59">C$77</f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 s="137">
        <f>C$84</f>
        <v>0.91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2:21" ht="12.75">
      <c r="B46" s="95"/>
      <c r="C46" s="95"/>
      <c r="E46">
        <v>3</v>
      </c>
      <c r="F46">
        <f t="shared" si="10"/>
        <v>1</v>
      </c>
      <c r="G46">
        <v>0</v>
      </c>
      <c r="H46">
        <v>0</v>
      </c>
      <c r="I46">
        <v>0</v>
      </c>
      <c r="J46" s="137">
        <f>C$81</f>
        <v>0.925</v>
      </c>
      <c r="K46">
        <v>0</v>
      </c>
      <c r="L46">
        <v>0</v>
      </c>
      <c r="M46">
        <v>0</v>
      </c>
      <c r="N46">
        <v>0</v>
      </c>
      <c r="O46" s="137">
        <f>C$86</f>
        <v>0.895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s="4" t="s">
        <v>576</v>
      </c>
      <c r="B47" s="153">
        <f>INT(((B15+B16+B23)/B26)-B27)</f>
        <v>3</v>
      </c>
      <c r="C47" s="153">
        <f>INT(((C15+C16+C23)/C26)-C27)</f>
        <v>16</v>
      </c>
      <c r="E47">
        <v>4</v>
      </c>
      <c r="F47">
        <f t="shared" si="10"/>
        <v>1</v>
      </c>
      <c r="G47">
        <v>0</v>
      </c>
      <c r="H47">
        <v>0</v>
      </c>
      <c r="I47" s="137">
        <f>C$80</f>
        <v>0.97</v>
      </c>
      <c r="J47">
        <v>0</v>
      </c>
      <c r="K47">
        <v>0</v>
      </c>
      <c r="L47">
        <v>0</v>
      </c>
      <c r="M47" s="137">
        <f>C$84</f>
        <v>0.91</v>
      </c>
      <c r="N47">
        <v>0</v>
      </c>
      <c r="O47">
        <v>0</v>
      </c>
      <c r="P47">
        <v>0</v>
      </c>
      <c r="Q47" s="137">
        <f>C$88</f>
        <v>0.88</v>
      </c>
      <c r="R47">
        <v>0</v>
      </c>
      <c r="S47">
        <v>0</v>
      </c>
      <c r="T47">
        <v>0</v>
      </c>
      <c r="U47">
        <v>0</v>
      </c>
    </row>
    <row r="48" spans="2:21" ht="12.75">
      <c r="B48" s="95"/>
      <c r="C48" s="95"/>
      <c r="E48">
        <v>5</v>
      </c>
      <c r="F48">
        <f t="shared" si="10"/>
        <v>1</v>
      </c>
      <c r="G48">
        <v>0</v>
      </c>
      <c r="H48" s="137">
        <f>C$79</f>
        <v>0.985</v>
      </c>
      <c r="I48">
        <v>0</v>
      </c>
      <c r="J48">
        <v>0</v>
      </c>
      <c r="K48" s="137">
        <f>C$82</f>
        <v>0.925</v>
      </c>
      <c r="L48">
        <v>0</v>
      </c>
      <c r="M48">
        <v>0</v>
      </c>
      <c r="N48" s="137">
        <f>C$85</f>
        <v>0.895</v>
      </c>
      <c r="O48">
        <v>0</v>
      </c>
      <c r="P48">
        <v>0</v>
      </c>
      <c r="Q48" s="137">
        <f>C$88</f>
        <v>0.88</v>
      </c>
      <c r="R48">
        <v>0</v>
      </c>
      <c r="S48">
        <v>0</v>
      </c>
      <c r="T48">
        <v>0</v>
      </c>
      <c r="U48">
        <v>0</v>
      </c>
    </row>
    <row r="49" spans="1:21" ht="12.75">
      <c r="A49" s="4" t="s">
        <v>341</v>
      </c>
      <c r="B49" s="95"/>
      <c r="C49" s="95"/>
      <c r="E49">
        <v>6</v>
      </c>
      <c r="F49">
        <f t="shared" si="10"/>
        <v>1</v>
      </c>
      <c r="G49">
        <v>0</v>
      </c>
      <c r="H49" s="137">
        <f>C$79</f>
        <v>0.985</v>
      </c>
      <c r="I49">
        <v>0</v>
      </c>
      <c r="J49" s="137">
        <f>C$81</f>
        <v>0.925</v>
      </c>
      <c r="K49">
        <v>0</v>
      </c>
      <c r="L49" s="137">
        <f aca="true" t="shared" si="11" ref="L49:L58">C$83</f>
        <v>0.91</v>
      </c>
      <c r="M49">
        <v>0</v>
      </c>
      <c r="N49" s="137">
        <f>C$85</f>
        <v>0.895</v>
      </c>
      <c r="O49">
        <v>0</v>
      </c>
      <c r="P49" s="137">
        <f aca="true" t="shared" si="12" ref="P49:P58">C$87</f>
        <v>0.89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342</v>
      </c>
      <c r="B50" s="95"/>
      <c r="C50" s="95"/>
      <c r="D50" s="5"/>
      <c r="E50" s="8">
        <v>7</v>
      </c>
      <c r="F50">
        <f t="shared" si="10"/>
        <v>1</v>
      </c>
      <c r="G50">
        <v>0</v>
      </c>
      <c r="H50" s="137">
        <f>C$79</f>
        <v>0.985</v>
      </c>
      <c r="I50">
        <v>0</v>
      </c>
      <c r="J50" s="137">
        <f>C$81</f>
        <v>0.925</v>
      </c>
      <c r="K50">
        <v>0</v>
      </c>
      <c r="L50" s="137">
        <f t="shared" si="11"/>
        <v>0.91</v>
      </c>
      <c r="M50">
        <v>0</v>
      </c>
      <c r="N50" s="137">
        <f>C$85</f>
        <v>0.895</v>
      </c>
      <c r="O50">
        <v>0</v>
      </c>
      <c r="P50" s="137">
        <f t="shared" si="12"/>
        <v>0.89</v>
      </c>
      <c r="Q50">
        <v>0</v>
      </c>
      <c r="R50" s="137">
        <f aca="true" t="shared" si="13" ref="R50:R58">C$89</f>
        <v>0.87</v>
      </c>
      <c r="S50">
        <v>0</v>
      </c>
      <c r="T50">
        <v>0</v>
      </c>
      <c r="U50">
        <v>0</v>
      </c>
    </row>
    <row r="51" spans="1:21" ht="12.75">
      <c r="A51" t="s">
        <v>347</v>
      </c>
      <c r="B51" s="73">
        <v>0.5</v>
      </c>
      <c r="C51" s="73">
        <v>0.5</v>
      </c>
      <c r="E51" s="5">
        <v>8</v>
      </c>
      <c r="F51">
        <f t="shared" si="10"/>
        <v>1</v>
      </c>
      <c r="G51">
        <v>0</v>
      </c>
      <c r="H51" s="137">
        <f>C$79</f>
        <v>0.985</v>
      </c>
      <c r="I51">
        <v>0</v>
      </c>
      <c r="J51" s="137">
        <f>C$81</f>
        <v>0.925</v>
      </c>
      <c r="K51">
        <v>0</v>
      </c>
      <c r="L51" s="137">
        <f t="shared" si="11"/>
        <v>0.91</v>
      </c>
      <c r="M51">
        <v>0</v>
      </c>
      <c r="N51" s="137">
        <f>C$85</f>
        <v>0.895</v>
      </c>
      <c r="O51">
        <v>0</v>
      </c>
      <c r="P51" s="137">
        <f t="shared" si="12"/>
        <v>0.89</v>
      </c>
      <c r="Q51">
        <v>0</v>
      </c>
      <c r="R51" s="137">
        <f t="shared" si="13"/>
        <v>0.87</v>
      </c>
      <c r="S51">
        <v>0</v>
      </c>
      <c r="T51" s="137">
        <f aca="true" t="shared" si="14" ref="T51:T58">C$91</f>
        <v>0.84</v>
      </c>
      <c r="U51">
        <v>0</v>
      </c>
    </row>
    <row r="52" spans="1:21" ht="12.75">
      <c r="A52" s="3"/>
      <c r="B52" s="43"/>
      <c r="C52" s="43"/>
      <c r="E52" s="5">
        <v>9</v>
      </c>
      <c r="F52">
        <f t="shared" si="10"/>
        <v>1</v>
      </c>
      <c r="G52">
        <v>0</v>
      </c>
      <c r="H52">
        <v>0</v>
      </c>
      <c r="I52" s="137">
        <f aca="true" t="shared" si="15" ref="I52:I58">C$80</f>
        <v>0.97</v>
      </c>
      <c r="J52">
        <v>0</v>
      </c>
      <c r="K52">
        <v>0</v>
      </c>
      <c r="L52" s="137">
        <f t="shared" si="11"/>
        <v>0.91</v>
      </c>
      <c r="M52">
        <v>0</v>
      </c>
      <c r="N52">
        <v>0</v>
      </c>
      <c r="O52" s="137">
        <f aca="true" t="shared" si="16" ref="O52:O58">C$86</f>
        <v>0.895</v>
      </c>
      <c r="P52" s="137">
        <f t="shared" si="12"/>
        <v>0.89</v>
      </c>
      <c r="Q52" s="137">
        <f aca="true" t="shared" si="17" ref="Q52:Q58">C$88</f>
        <v>0.88</v>
      </c>
      <c r="R52" s="137">
        <f t="shared" si="13"/>
        <v>0.87</v>
      </c>
      <c r="S52" s="137">
        <f aca="true" t="shared" si="18" ref="S52:S58">C$90</f>
        <v>0.85</v>
      </c>
      <c r="T52" s="137">
        <f t="shared" si="14"/>
        <v>0.84</v>
      </c>
      <c r="U52">
        <v>0</v>
      </c>
    </row>
    <row r="53" spans="1:21" ht="15.75">
      <c r="A53" s="1" t="s">
        <v>348</v>
      </c>
      <c r="C53" s="13" t="s">
        <v>483</v>
      </c>
      <c r="E53">
        <v>10</v>
      </c>
      <c r="F53">
        <f t="shared" si="10"/>
        <v>1</v>
      </c>
      <c r="G53">
        <v>0</v>
      </c>
      <c r="H53">
        <v>0</v>
      </c>
      <c r="I53" s="137">
        <f t="shared" si="15"/>
        <v>0.97</v>
      </c>
      <c r="J53">
        <v>0</v>
      </c>
      <c r="K53">
        <v>0</v>
      </c>
      <c r="L53" s="137">
        <f t="shared" si="11"/>
        <v>0.91</v>
      </c>
      <c r="M53">
        <v>0</v>
      </c>
      <c r="N53">
        <v>0</v>
      </c>
      <c r="O53" s="137">
        <f t="shared" si="16"/>
        <v>0.895</v>
      </c>
      <c r="P53" s="137">
        <f t="shared" si="12"/>
        <v>0.89</v>
      </c>
      <c r="Q53" s="137">
        <f t="shared" si="17"/>
        <v>0.88</v>
      </c>
      <c r="R53" s="137">
        <f t="shared" si="13"/>
        <v>0.87</v>
      </c>
      <c r="S53" s="137">
        <f t="shared" si="18"/>
        <v>0.85</v>
      </c>
      <c r="T53" s="137">
        <f t="shared" si="14"/>
        <v>0.84</v>
      </c>
      <c r="U53" s="137">
        <f aca="true" t="shared" si="19" ref="U53:U58">C$92</f>
        <v>0.835</v>
      </c>
    </row>
    <row r="54" spans="1:21" ht="12.75">
      <c r="A54" s="3"/>
      <c r="B54" s="43"/>
      <c r="C54" s="43"/>
      <c r="E54">
        <v>11</v>
      </c>
      <c r="F54">
        <f t="shared" si="10"/>
        <v>1</v>
      </c>
      <c r="G54">
        <v>0</v>
      </c>
      <c r="H54">
        <v>0</v>
      </c>
      <c r="I54" s="137">
        <f t="shared" si="15"/>
        <v>0.97</v>
      </c>
      <c r="J54">
        <v>0</v>
      </c>
      <c r="K54">
        <v>0</v>
      </c>
      <c r="L54" s="137">
        <f t="shared" si="11"/>
        <v>0.91</v>
      </c>
      <c r="M54">
        <v>0</v>
      </c>
      <c r="N54" s="137">
        <f aca="true" t="shared" si="20" ref="N54:N59">C$85</f>
        <v>0.895</v>
      </c>
      <c r="O54" s="137">
        <f t="shared" si="16"/>
        <v>0.895</v>
      </c>
      <c r="P54" s="137">
        <f t="shared" si="12"/>
        <v>0.89</v>
      </c>
      <c r="Q54" s="137">
        <f t="shared" si="17"/>
        <v>0.88</v>
      </c>
      <c r="R54" s="137">
        <f t="shared" si="13"/>
        <v>0.87</v>
      </c>
      <c r="S54" s="137">
        <f t="shared" si="18"/>
        <v>0.85</v>
      </c>
      <c r="T54" s="137">
        <f t="shared" si="14"/>
        <v>0.84</v>
      </c>
      <c r="U54" s="137">
        <f t="shared" si="19"/>
        <v>0.835</v>
      </c>
    </row>
    <row r="55" spans="1:21" ht="12.75">
      <c r="A55" s="4" t="s">
        <v>349</v>
      </c>
      <c r="B55" s="21" t="str">
        <f aca="true" t="shared" si="21" ref="B55:C57">B3</f>
        <v>Scenario 1</v>
      </c>
      <c r="C55" s="21" t="str">
        <f t="shared" si="21"/>
        <v>Scenario 2</v>
      </c>
      <c r="E55">
        <v>12</v>
      </c>
      <c r="F55">
        <f t="shared" si="10"/>
        <v>1</v>
      </c>
      <c r="G55">
        <v>0</v>
      </c>
      <c r="H55">
        <v>0</v>
      </c>
      <c r="I55" s="137">
        <f t="shared" si="15"/>
        <v>0.97</v>
      </c>
      <c r="J55">
        <v>0</v>
      </c>
      <c r="K55">
        <v>0</v>
      </c>
      <c r="L55" s="137">
        <f t="shared" si="11"/>
        <v>0.91</v>
      </c>
      <c r="M55" s="137">
        <f>C$84</f>
        <v>0.91</v>
      </c>
      <c r="N55" s="137">
        <f t="shared" si="20"/>
        <v>0.895</v>
      </c>
      <c r="O55" s="137">
        <f t="shared" si="16"/>
        <v>0.895</v>
      </c>
      <c r="P55" s="137">
        <f t="shared" si="12"/>
        <v>0.89</v>
      </c>
      <c r="Q55" s="137">
        <f t="shared" si="17"/>
        <v>0.88</v>
      </c>
      <c r="R55" s="137">
        <f t="shared" si="13"/>
        <v>0.87</v>
      </c>
      <c r="S55" s="137">
        <f t="shared" si="18"/>
        <v>0.85</v>
      </c>
      <c r="T55" s="137">
        <f t="shared" si="14"/>
        <v>0.84</v>
      </c>
      <c r="U55" s="137">
        <f t="shared" si="19"/>
        <v>0.835</v>
      </c>
    </row>
    <row r="56" spans="1:21" ht="12.75">
      <c r="A56" s="4"/>
      <c r="B56" s="21" t="str">
        <f t="shared" si="21"/>
        <v>On-Farm</v>
      </c>
      <c r="C56" s="21" t="str">
        <f t="shared" si="21"/>
        <v>Coop</v>
      </c>
      <c r="E56">
        <v>13</v>
      </c>
      <c r="F56">
        <f t="shared" si="10"/>
        <v>1</v>
      </c>
      <c r="G56">
        <v>0</v>
      </c>
      <c r="H56">
        <v>0</v>
      </c>
      <c r="I56" s="137">
        <f t="shared" si="15"/>
        <v>0.97</v>
      </c>
      <c r="J56">
        <v>0</v>
      </c>
      <c r="K56" s="137">
        <f>C$82</f>
        <v>0.925</v>
      </c>
      <c r="L56" s="137">
        <f t="shared" si="11"/>
        <v>0.91</v>
      </c>
      <c r="M56" s="137">
        <f>C$84</f>
        <v>0.91</v>
      </c>
      <c r="N56" s="137">
        <f t="shared" si="20"/>
        <v>0.895</v>
      </c>
      <c r="O56" s="137">
        <f t="shared" si="16"/>
        <v>0.895</v>
      </c>
      <c r="P56" s="137">
        <f t="shared" si="12"/>
        <v>0.89</v>
      </c>
      <c r="Q56" s="137">
        <f t="shared" si="17"/>
        <v>0.88</v>
      </c>
      <c r="R56" s="137">
        <f t="shared" si="13"/>
        <v>0.87</v>
      </c>
      <c r="S56" s="137">
        <f t="shared" si="18"/>
        <v>0.85</v>
      </c>
      <c r="T56" s="137">
        <f t="shared" si="14"/>
        <v>0.84</v>
      </c>
      <c r="U56" s="137">
        <f t="shared" si="19"/>
        <v>0.835</v>
      </c>
    </row>
    <row r="57" spans="1:21" ht="12.75">
      <c r="A57" s="4"/>
      <c r="B57" s="114" t="str">
        <f t="shared" si="21"/>
        <v>Semen</v>
      </c>
      <c r="C57" s="114" t="str">
        <f t="shared" si="21"/>
        <v>Semen</v>
      </c>
      <c r="E57">
        <v>14</v>
      </c>
      <c r="F57">
        <f t="shared" si="10"/>
        <v>1</v>
      </c>
      <c r="G57">
        <v>0</v>
      </c>
      <c r="H57">
        <v>0</v>
      </c>
      <c r="I57" s="137">
        <f t="shared" si="15"/>
        <v>0.97</v>
      </c>
      <c r="J57" s="137">
        <f>C$81</f>
        <v>0.925</v>
      </c>
      <c r="K57" s="137">
        <f>C$82</f>
        <v>0.925</v>
      </c>
      <c r="L57" s="137">
        <f t="shared" si="11"/>
        <v>0.91</v>
      </c>
      <c r="M57" s="137">
        <f>C$84</f>
        <v>0.91</v>
      </c>
      <c r="N57" s="137">
        <f t="shared" si="20"/>
        <v>0.895</v>
      </c>
      <c r="O57" s="137">
        <f t="shared" si="16"/>
        <v>0.895</v>
      </c>
      <c r="P57" s="137">
        <f t="shared" si="12"/>
        <v>0.89</v>
      </c>
      <c r="Q57" s="137">
        <f t="shared" si="17"/>
        <v>0.88</v>
      </c>
      <c r="R57" s="137">
        <f t="shared" si="13"/>
        <v>0.87</v>
      </c>
      <c r="S57" s="137">
        <f t="shared" si="18"/>
        <v>0.85</v>
      </c>
      <c r="T57" s="137">
        <f t="shared" si="14"/>
        <v>0.84</v>
      </c>
      <c r="U57" s="137">
        <f t="shared" si="19"/>
        <v>0.835</v>
      </c>
    </row>
    <row r="58" spans="1:21" ht="12.75">
      <c r="A58" s="4"/>
      <c r="E58" s="8">
        <v>15</v>
      </c>
      <c r="F58">
        <f t="shared" si="10"/>
        <v>1</v>
      </c>
      <c r="G58">
        <v>0</v>
      </c>
      <c r="H58" s="137">
        <f>C$79</f>
        <v>0.985</v>
      </c>
      <c r="I58" s="137">
        <f t="shared" si="15"/>
        <v>0.97</v>
      </c>
      <c r="J58" s="137">
        <f>C$81</f>
        <v>0.925</v>
      </c>
      <c r="K58" s="137">
        <f>C$82</f>
        <v>0.925</v>
      </c>
      <c r="L58" s="137">
        <f t="shared" si="11"/>
        <v>0.91</v>
      </c>
      <c r="M58" s="137">
        <f>C$84</f>
        <v>0.91</v>
      </c>
      <c r="N58" s="137">
        <f t="shared" si="20"/>
        <v>0.895</v>
      </c>
      <c r="O58" s="137">
        <f t="shared" si="16"/>
        <v>0.895</v>
      </c>
      <c r="P58" s="137">
        <f t="shared" si="12"/>
        <v>0.89</v>
      </c>
      <c r="Q58" s="137">
        <f t="shared" si="17"/>
        <v>0.88</v>
      </c>
      <c r="R58" s="137">
        <f t="shared" si="13"/>
        <v>0.87</v>
      </c>
      <c r="S58" s="137">
        <f t="shared" si="18"/>
        <v>0.85</v>
      </c>
      <c r="T58" s="137">
        <f t="shared" si="14"/>
        <v>0.84</v>
      </c>
      <c r="U58" s="137">
        <f t="shared" si="19"/>
        <v>0.835</v>
      </c>
    </row>
    <row r="59" spans="1:21" ht="12.75">
      <c r="A59" s="4" t="s">
        <v>350</v>
      </c>
      <c r="B59" s="15">
        <f>(B25/B27)</f>
        <v>20</v>
      </c>
      <c r="C59" s="15">
        <f>(C25/C27)</f>
        <v>240</v>
      </c>
      <c r="E59">
        <v>16</v>
      </c>
      <c r="F59">
        <f t="shared" si="10"/>
        <v>1</v>
      </c>
      <c r="G59" s="137">
        <f>C$78</f>
        <v>1</v>
      </c>
      <c r="H59" s="137">
        <f>C$79</f>
        <v>0.985</v>
      </c>
      <c r="I59" s="137">
        <f>C$80</f>
        <v>0.97</v>
      </c>
      <c r="J59" s="137">
        <f>C$81</f>
        <v>0.925</v>
      </c>
      <c r="K59" s="137">
        <f>C$82</f>
        <v>0.925</v>
      </c>
      <c r="L59" s="137">
        <f>C$83</f>
        <v>0.91</v>
      </c>
      <c r="M59" s="137">
        <f>C$84</f>
        <v>0.91</v>
      </c>
      <c r="N59" s="137">
        <f t="shared" si="20"/>
        <v>0.895</v>
      </c>
      <c r="O59" s="137">
        <f>C$86</f>
        <v>0.895</v>
      </c>
      <c r="P59" s="137">
        <f>C$87</f>
        <v>0.89</v>
      </c>
      <c r="Q59" s="137">
        <f>C$88</f>
        <v>0.88</v>
      </c>
      <c r="R59" s="137">
        <f>C$89</f>
        <v>0.87</v>
      </c>
      <c r="S59" s="137">
        <f>C$90</f>
        <v>0.85</v>
      </c>
      <c r="T59" s="137">
        <f>C$91</f>
        <v>0.84</v>
      </c>
      <c r="U59" s="137">
        <f>C$92</f>
        <v>0.835</v>
      </c>
    </row>
    <row r="60" spans="1:3" ht="12.75">
      <c r="A60" s="171" t="s">
        <v>720</v>
      </c>
      <c r="B60" s="41">
        <f>INT((B15+B16+B23)/B26)</f>
        <v>4</v>
      </c>
      <c r="C60" s="41">
        <f>INT((C15+C16+C23)/C26)</f>
        <v>20</v>
      </c>
    </row>
    <row r="61" ht="12.75">
      <c r="A61" s="4" t="s">
        <v>351</v>
      </c>
    </row>
    <row r="62" spans="1:3" ht="12.75">
      <c r="A62" t="s">
        <v>721</v>
      </c>
      <c r="B62" s="15">
        <f>((B59/B17)*B28)*B33</f>
        <v>0</v>
      </c>
      <c r="C62" s="15">
        <f>((C59/C17)*C28)*C33</f>
        <v>0</v>
      </c>
    </row>
    <row r="63" spans="1:3" ht="12.75">
      <c r="A63" t="s">
        <v>352</v>
      </c>
      <c r="B63" s="15">
        <f>((B59/B17)*B28)*B34</f>
        <v>47.90419161676647</v>
      </c>
      <c r="C63" s="15">
        <f>((C59/C17)*C28)*C34</f>
        <v>0</v>
      </c>
    </row>
    <row r="64" spans="1:3" ht="12.75">
      <c r="A64" t="s">
        <v>353</v>
      </c>
      <c r="B64" s="15">
        <f>((B59/B17)*B28)*B35</f>
        <v>0</v>
      </c>
      <c r="C64" s="15">
        <f>((C59/C17)*C28)*C35</f>
        <v>574.8502994011976</v>
      </c>
    </row>
    <row r="65" spans="1:3" ht="12.75">
      <c r="A65" t="s">
        <v>354</v>
      </c>
      <c r="B65" s="41">
        <f>IF(B62=0,0,(B62)/(B36*B37))</f>
        <v>0</v>
      </c>
      <c r="C65" s="41">
        <f>IF(C62=0,0,(C62)/(C36*C37))</f>
        <v>0</v>
      </c>
    </row>
    <row r="66" spans="1:3" ht="12.75">
      <c r="A66" t="s">
        <v>355</v>
      </c>
      <c r="B66" s="41">
        <f>(IF(B63=0,0,(B6/B26)*(B63)/((B6/B26)*B38*(1-B40)*B39)))</f>
        <v>1.6808488286584726</v>
      </c>
      <c r="C66" s="41">
        <f>(IF(C63=0,0,(C6/C26)*(C63)/((C6/C26)*C38*(1-C40)*C39)))</f>
        <v>0</v>
      </c>
    </row>
    <row r="67" spans="1:3" ht="12.75">
      <c r="A67" t="s">
        <v>356</v>
      </c>
      <c r="B67" s="41">
        <f>IF(B64=0,0,((B6/B$26)*(B64)/((B$6/B$26)*B$38*(1-B$40)*B$39)))</f>
        <v>0</v>
      </c>
      <c r="C67" s="41">
        <f>IF(C64=0,0,((C6/C$26)*(C64)/((C$6/C$26)*C$38*(1-C$40)*C$39)))</f>
        <v>20.170185943901675</v>
      </c>
    </row>
    <row r="68" spans="1:3" ht="12.75">
      <c r="A68" s="4" t="s">
        <v>357</v>
      </c>
      <c r="B68" s="172">
        <f>(B65+B66+B67)</f>
        <v>1.6808488286584726</v>
      </c>
      <c r="C68" s="172">
        <f>(C65+C66+C67)</f>
        <v>20.170185943901675</v>
      </c>
    </row>
    <row r="69" ht="12.75">
      <c r="A69" s="4"/>
    </row>
    <row r="70" ht="12.75">
      <c r="A70" s="4" t="s">
        <v>358</v>
      </c>
    </row>
    <row r="71" spans="1:3" ht="12.75">
      <c r="A71" t="s">
        <v>359</v>
      </c>
      <c r="B71" s="41">
        <f>IF(B63+B64=0,0,(((B63+B64)/(B34+B35))/B42))</f>
        <v>0.47904191616766467</v>
      </c>
      <c r="C71" s="41">
        <f>IF(C63+C64=0,0,(((C63+C64)/(C34+C35))/C42))</f>
        <v>5.748502994011976</v>
      </c>
    </row>
    <row r="72" spans="1:3" ht="12.75">
      <c r="A72" t="s">
        <v>360</v>
      </c>
      <c r="B72" s="41">
        <f>B93/B43</f>
        <v>0.33772455089820363</v>
      </c>
      <c r="C72" s="41">
        <f>C93/C43</f>
        <v>20.953293413173654</v>
      </c>
    </row>
    <row r="73" spans="1:3" ht="12.75">
      <c r="A73" s="11" t="s">
        <v>361</v>
      </c>
      <c r="B73" s="172">
        <f>(B71+B72)</f>
        <v>0.8167664670658683</v>
      </c>
      <c r="C73" s="172">
        <f>(C71+C72)</f>
        <v>26.70179640718563</v>
      </c>
    </row>
    <row r="74" ht="12.75">
      <c r="A74" s="6" t="s">
        <v>362</v>
      </c>
    </row>
    <row r="75" spans="1:3" ht="12.75">
      <c r="A75" s="5" t="s">
        <v>452</v>
      </c>
      <c r="B75" s="44">
        <f>(B$59/B$17)</f>
        <v>23.952095808383234</v>
      </c>
      <c r="C75" s="44">
        <f>(C59/C17)</f>
        <v>287.4251497005988</v>
      </c>
    </row>
    <row r="76" spans="1:3" ht="12.75">
      <c r="A76" s="5" t="s">
        <v>380</v>
      </c>
      <c r="B76" s="45"/>
      <c r="C76" s="45"/>
    </row>
    <row r="77" spans="1:3" ht="12.75">
      <c r="A77" s="5" t="s">
        <v>381</v>
      </c>
      <c r="B77" s="90">
        <f>VLOOKUP(B$17,E$3:U$9,(1+1),0)</f>
        <v>1</v>
      </c>
      <c r="C77" s="90">
        <f>VLOOKUP(C$17,E$13:U$19,(1+1),0)</f>
        <v>1</v>
      </c>
    </row>
    <row r="78" spans="1:3" ht="12.75">
      <c r="A78" t="s">
        <v>382</v>
      </c>
      <c r="B78" s="90">
        <f>VLOOKUP(B$17,E$3:U$9,(2+1),0)</f>
        <v>1</v>
      </c>
      <c r="C78" s="90">
        <f>VLOOKUP(C$17,E$13:U$19,(2+1),0)</f>
        <v>1</v>
      </c>
    </row>
    <row r="79" spans="1:3" ht="12.75">
      <c r="A79" s="5" t="s">
        <v>383</v>
      </c>
      <c r="B79" s="90">
        <f>VLOOKUP(B$17,E$3:U$9,(3+1),0)</f>
        <v>0.985</v>
      </c>
      <c r="C79" s="90">
        <f>VLOOKUP(C$17,E$13:U$19,(3+1),0)</f>
        <v>0.985</v>
      </c>
    </row>
    <row r="80" spans="1:3" ht="12.75">
      <c r="A80" s="5" t="s">
        <v>384</v>
      </c>
      <c r="B80" s="90">
        <f>VLOOKUP(B$17,E$3:U$9,(4+1),0)</f>
        <v>0.97</v>
      </c>
      <c r="C80" s="90">
        <f>VLOOKUP(C$17,E$13:U$19,(4+1),0)</f>
        <v>0.97</v>
      </c>
    </row>
    <row r="81" spans="1:3" ht="12.75">
      <c r="A81" s="5" t="s">
        <v>385</v>
      </c>
      <c r="B81" s="90">
        <f>VLOOKUP(B$17,E$3:U$9,(5+1),0)</f>
        <v>0.925</v>
      </c>
      <c r="C81" s="90">
        <f>VLOOKUP(C$17,E$13:U$19,(5+1),0)</f>
        <v>0.925</v>
      </c>
    </row>
    <row r="82" spans="1:3" ht="12.75">
      <c r="A82" s="5" t="s">
        <v>386</v>
      </c>
      <c r="B82" s="90">
        <f>VLOOKUP(B$17,E$3:U$9,(6+1),0)</f>
        <v>0.925</v>
      </c>
      <c r="C82" s="90">
        <f>VLOOKUP(C$17,E$13:U$19,(6+1),0)</f>
        <v>0.925</v>
      </c>
    </row>
    <row r="83" spans="1:3" ht="12.75">
      <c r="A83" s="5" t="s">
        <v>387</v>
      </c>
      <c r="B83" s="90">
        <f>VLOOKUP(B$17,E$3:U$9,(7+1),0)</f>
        <v>0.91</v>
      </c>
      <c r="C83" s="90">
        <f>VLOOKUP(C$17,E$13:U$19,(7+1),0)</f>
        <v>0.91</v>
      </c>
    </row>
    <row r="84" spans="1:3" ht="12.75">
      <c r="A84" s="5" t="s">
        <v>388</v>
      </c>
      <c r="B84" s="90">
        <f>VLOOKUP(B$17,E$3:U$9,(8+1),0)</f>
        <v>0.91</v>
      </c>
      <c r="C84" s="90">
        <f>VLOOKUP(C$17,E$13:U$19,(8+1),0)</f>
        <v>0.91</v>
      </c>
    </row>
    <row r="85" spans="1:3" ht="12.75">
      <c r="A85" t="s">
        <v>389</v>
      </c>
      <c r="B85" s="90">
        <f>VLOOKUP(B$17,E$3:U$9,(9+1),0)</f>
        <v>0.895</v>
      </c>
      <c r="C85" s="90">
        <f>VLOOKUP(C$17,E$13:U$19,(9+1),0)</f>
        <v>0.895</v>
      </c>
    </row>
    <row r="86" spans="1:3" ht="12.75">
      <c r="A86" t="s">
        <v>390</v>
      </c>
      <c r="B86" s="90">
        <f>VLOOKUP(B$17,E$3:U$9,(10+1),0)</f>
        <v>0.895</v>
      </c>
      <c r="C86" s="90">
        <f>VLOOKUP(C$17,E$13:U$19,(10+1),0)</f>
        <v>0.895</v>
      </c>
    </row>
    <row r="87" spans="1:3" ht="12.75">
      <c r="A87" t="s">
        <v>391</v>
      </c>
      <c r="B87" s="90">
        <f>VLOOKUP(B$17,E$3:U$9,(11+1),0)</f>
        <v>0.89</v>
      </c>
      <c r="C87" s="90">
        <f>VLOOKUP(C$17,E$13:U$19,(11+1),0)</f>
        <v>0.89</v>
      </c>
    </row>
    <row r="88" spans="1:3" ht="12.75">
      <c r="A88" s="5" t="s">
        <v>392</v>
      </c>
      <c r="B88" s="90">
        <f>VLOOKUP(B$17,E$3:U$9,(12+1),0)</f>
        <v>0.88</v>
      </c>
      <c r="C88" s="90">
        <f>VLOOKUP(C$17,E$13:U$19,(12+1),0)</f>
        <v>0.88</v>
      </c>
    </row>
    <row r="89" spans="1:3" ht="12.75">
      <c r="A89" s="5" t="s">
        <v>393</v>
      </c>
      <c r="B89" s="90">
        <f>VLOOKUP(B$17,E$3:U$9,(13+1),0)</f>
        <v>0.87</v>
      </c>
      <c r="C89" s="90">
        <f>VLOOKUP(C$17,E$13:U$19,(13+1),0)</f>
        <v>0.87</v>
      </c>
    </row>
    <row r="90" spans="1:3" ht="12.75">
      <c r="A90" s="5" t="s">
        <v>394</v>
      </c>
      <c r="B90" s="90">
        <f>VLOOKUP(B$17,E$3:U$9,(14+1),0)</f>
        <v>0.85</v>
      </c>
      <c r="C90" s="90">
        <f>VLOOKUP(C$17,E$13:U$19,(14+1),0)</f>
        <v>0.85</v>
      </c>
    </row>
    <row r="91" spans="1:3" ht="12.75">
      <c r="A91" s="5" t="s">
        <v>395</v>
      </c>
      <c r="B91" s="90">
        <f>VLOOKUP(B$17,E$3:U$9,(15+1),0)</f>
        <v>0.84</v>
      </c>
      <c r="C91" s="90">
        <f>VLOOKUP(C$17,E$13:U$19,(15+1),0)</f>
        <v>0.84</v>
      </c>
    </row>
    <row r="92" spans="1:3" ht="12.75">
      <c r="A92" s="5" t="s">
        <v>396</v>
      </c>
      <c r="B92" s="90">
        <f>VLOOKUP(B$17,E$3:U$9,(16+1),0)</f>
        <v>0.835</v>
      </c>
      <c r="C92" s="90">
        <f>VLOOKUP(C$17,E$13:U$19,(16+1),0)</f>
        <v>0.835</v>
      </c>
    </row>
    <row r="93" spans="1:3" ht="12.75">
      <c r="A93" s="7" t="s">
        <v>397</v>
      </c>
      <c r="B93" s="91">
        <f>(B$75*(VLOOKUP(B$47,E$25:U$38,(1+1),0)))+(B$75*(VLOOKUP(B$47,E$25:U$38,(2+1),0)))+(B$75*(VLOOKUP(B$47,E$25:U$38,(3+1),0)))+(B$75*(VLOOKUP(B$47,E$25:U$38,(4+1),0)))+(B$75*(VLOOKUP(B$47,E$25:U$38,(5+1),0)))+(B$75*(VLOOKUP(B$47,E$25:U$38,(6+1),0)))+(B$75*(VLOOKUP(B$47,E$25:U$38,(7+1),0)))+(B$75*(VLOOKUP(B$47,E$25:U$38,(8+1),0)))+(B$75*(VLOOKUP(B$47,E$25:U$38,(9+1),0)))+(B$75*(VLOOKUP(B$47,E$25:U$38,(10+1),0)))+(B$75*(VLOOKUP(B$47,E$25:U$38,(11+1),0)))+(B$75*(VLOOKUP(B$47,E$25:U$38,(12+1),0)))+(B$75*(VLOOKUP(B$47,E$25:U$38,(13+1),0)))+(B$75*(VLOOKUP(B$47,E$25:U$38,(14+1),0)))+(B$75*(VLOOKUP(B$47,E$25:U$38,(15+1),0)))+(B$75*(VLOOKUP(B$47,E$25:U$38,(16+1),0)))</f>
        <v>67.54491017964072</v>
      </c>
      <c r="C93" s="91">
        <f>(C$75*(VLOOKUP(C$47,E$45:U$59,(1+1),0)))+(C$75*(VLOOKUP(C$47,E$45:U$59,(2+1),0)))+(C$75*(VLOOKUP(C$47,E$45:U$59,(3+1),0)))+(C$75*(VLOOKUP(C$47,E$45:U$59,(4+1),0)))+(C$75*(VLOOKUP(C$47,E$45:U$59,(5+1),0)))+(C$75*(VLOOKUP(C$47,E$45:U$59,(6+1),0)))+(C$75*(VLOOKUP(C$47,E$45:U$59,(7+1),0)))+(C$75*(VLOOKUP(C$47,E$45:U$59,(8+1),0)))+(C$75*(VLOOKUP(C$47,E$45:U$59,(9+1),0)))+(C$75*(VLOOKUP(C$47,E$45:U$59,(10+1),0)))+(C$75*(VLOOKUP(C$47,E$45:U$59,(11+1),0)))+(C$75*(VLOOKUP(C$47,E$45:U$59,(12+1),0)))+(C$75*(VLOOKUP(C$47,E$45:U$59,(13+1),0)))+(C$75*(VLOOKUP(C$47,E$45:U$59,(14+1),0)))+(C$75*(VLOOKUP(C$47,E$45:U$59,(15+1),0)))+(C$75*(VLOOKUP(C$47,E$45:U$59,(16+1),0)))</f>
        <v>4190.658682634731</v>
      </c>
    </row>
    <row r="94" spans="1:3" ht="12.75">
      <c r="A94" s="7" t="s">
        <v>398</v>
      </c>
      <c r="B94" s="91">
        <f>B59</f>
        <v>20</v>
      </c>
      <c r="C94" s="91">
        <f>C59</f>
        <v>240</v>
      </c>
    </row>
    <row r="95" spans="1:3" ht="12.75">
      <c r="A95" s="4" t="s">
        <v>399</v>
      </c>
      <c r="B95" s="91">
        <f>(B59*B51)</f>
        <v>10</v>
      </c>
      <c r="C95" s="91">
        <f>(C59*C51)</f>
        <v>120</v>
      </c>
    </row>
    <row r="96" spans="1:3" ht="12.75">
      <c r="A96" s="4" t="s">
        <v>400</v>
      </c>
      <c r="B96" s="91">
        <f>(B93+B94+B95)</f>
        <v>97.54491017964072</v>
      </c>
      <c r="C96" s="91">
        <f>(C93+C94+C95)</f>
        <v>4550.658682634731</v>
      </c>
    </row>
    <row r="97" spans="1:3" ht="12.75">
      <c r="A97" t="s">
        <v>401</v>
      </c>
      <c r="B97" s="93">
        <f>((((B27-1)*B59)+(B96))*B18)/(365/B26)</f>
        <v>3.741448609630055</v>
      </c>
      <c r="C97" s="93">
        <f>((((C27-1)*C59)+(C96))*C18)/(365/C26)</f>
        <v>40.43245016815684</v>
      </c>
    </row>
    <row r="98" spans="1:3" ht="12.75">
      <c r="A98" t="s">
        <v>433</v>
      </c>
      <c r="B98" s="94">
        <f>B21/21</f>
        <v>0.3333333333333333</v>
      </c>
      <c r="C98" s="94">
        <f>C21/21</f>
        <v>0.3333333333333333</v>
      </c>
    </row>
    <row r="99" spans="1:3" ht="12.75">
      <c r="A99" t="s">
        <v>434</v>
      </c>
      <c r="B99" s="93">
        <f>B97/B98</f>
        <v>11.224345828890165</v>
      </c>
      <c r="C99" s="93">
        <f>C97/C98</f>
        <v>121.29735050447053</v>
      </c>
    </row>
    <row r="100" spans="1:3" ht="12.75">
      <c r="A100" s="4" t="s">
        <v>435</v>
      </c>
      <c r="B100" s="91">
        <f>B96+B99</f>
        <v>108.76925600853089</v>
      </c>
      <c r="C100" s="91">
        <f>C96+C99</f>
        <v>4671.956033139201</v>
      </c>
    </row>
    <row r="101" spans="1:3" ht="12.75">
      <c r="A101" s="6" t="s">
        <v>436</v>
      </c>
      <c r="B101" s="91">
        <f>(B27-1)*B59</f>
        <v>0</v>
      </c>
      <c r="C101" s="91">
        <f>(C27-1)*C59</f>
        <v>720</v>
      </c>
    </row>
    <row r="102" spans="1:3" ht="12.75">
      <c r="A102" s="4" t="s">
        <v>437</v>
      </c>
      <c r="B102" s="91">
        <f>B100+B101</f>
        <v>108.76925600853089</v>
      </c>
      <c r="C102" s="91">
        <f>C100+C101</f>
        <v>5391.956033139201</v>
      </c>
    </row>
    <row r="103" spans="1:3" ht="12.75">
      <c r="A103" t="s">
        <v>506</v>
      </c>
      <c r="B103" s="93">
        <f>(B97*B45)/B26</f>
        <v>6.413911902222951</v>
      </c>
      <c r="C103" s="93">
        <f>(C97*C45)/C26</f>
        <v>346.5638585842015</v>
      </c>
    </row>
    <row r="104" spans="2:3" ht="12.75">
      <c r="B104" s="95"/>
      <c r="C104" s="95"/>
    </row>
    <row r="105" spans="1:3" ht="12.75">
      <c r="A105" s="4" t="s">
        <v>438</v>
      </c>
      <c r="B105" s="91">
        <f>(+B102+B103)</f>
        <v>115.18316791075384</v>
      </c>
      <c r="C105" s="91">
        <f>C102+C103</f>
        <v>5738.519891723403</v>
      </c>
    </row>
    <row r="106" spans="1:3" ht="12.75">
      <c r="A106" s="3"/>
      <c r="B106" s="43"/>
      <c r="C106" s="43"/>
    </row>
    <row r="107" spans="1:3" ht="15.75">
      <c r="A107" s="1" t="s">
        <v>348</v>
      </c>
      <c r="C107" s="13" t="s">
        <v>484</v>
      </c>
    </row>
    <row r="108" spans="1:3" ht="12.75">
      <c r="A108" s="3"/>
      <c r="B108" s="43"/>
      <c r="C108" s="43"/>
    </row>
    <row r="109" spans="2:3" ht="12.75">
      <c r="B109" s="21" t="str">
        <f aca="true" t="shared" si="22" ref="B109:C111">B3</f>
        <v>Scenario 1</v>
      </c>
      <c r="C109" s="21" t="str">
        <f t="shared" si="22"/>
        <v>Scenario 2</v>
      </c>
    </row>
    <row r="110" spans="2:3" ht="12.75">
      <c r="B110" s="21" t="str">
        <f t="shared" si="22"/>
        <v>On-Farm</v>
      </c>
      <c r="C110" s="21" t="str">
        <f t="shared" si="22"/>
        <v>Coop</v>
      </c>
    </row>
    <row r="111" spans="2:3" ht="12.75">
      <c r="B111" s="138" t="str">
        <f t="shared" si="22"/>
        <v>Semen</v>
      </c>
      <c r="C111" s="138" t="str">
        <f t="shared" si="22"/>
        <v>Semen</v>
      </c>
    </row>
    <row r="112" spans="1:3" ht="12.75">
      <c r="A112" s="4" t="s">
        <v>439</v>
      </c>
      <c r="B112" s="145"/>
      <c r="C112" s="145"/>
    </row>
    <row r="113" spans="1:3" ht="12.75">
      <c r="A113" s="4" t="s">
        <v>440</v>
      </c>
      <c r="B113" s="145"/>
      <c r="C113" s="145"/>
    </row>
    <row r="114" spans="1:3" ht="12.75">
      <c r="A114" t="s">
        <v>441</v>
      </c>
      <c r="B114" s="146">
        <f>B60</f>
        <v>4</v>
      </c>
      <c r="C114" s="146">
        <f>C60</f>
        <v>20</v>
      </c>
    </row>
    <row r="115" spans="1:3" ht="12.75">
      <c r="A115" t="s">
        <v>442</v>
      </c>
      <c r="B115" s="145">
        <f>B99</f>
        <v>11.224345828890165</v>
      </c>
      <c r="C115" s="145">
        <f>C99</f>
        <v>121.29735050447053</v>
      </c>
    </row>
    <row r="116" spans="1:3" ht="12.75">
      <c r="A116" s="5" t="s">
        <v>443</v>
      </c>
      <c r="B116" s="117"/>
      <c r="C116" s="117"/>
    </row>
    <row r="117" spans="1:3" ht="12.75">
      <c r="A117" t="s">
        <v>444</v>
      </c>
      <c r="B117" s="125">
        <f>B97</f>
        <v>3.741448609630055</v>
      </c>
      <c r="C117" s="125">
        <f>C97</f>
        <v>40.43245016815684</v>
      </c>
    </row>
    <row r="118" spans="1:3" ht="12.75">
      <c r="A118" s="5" t="s">
        <v>445</v>
      </c>
      <c r="B118" s="125">
        <f>B75-B117</f>
        <v>20.21064719875318</v>
      </c>
      <c r="C118" s="125">
        <f>C75-C117</f>
        <v>246.99269953244197</v>
      </c>
    </row>
    <row r="119" spans="1:3" ht="12.75">
      <c r="A119" t="s">
        <v>446</v>
      </c>
      <c r="B119" s="145">
        <f>(B117+B118)</f>
        <v>23.952095808383234</v>
      </c>
      <c r="C119" s="145">
        <f>(C117+C118)</f>
        <v>287.4251497005988</v>
      </c>
    </row>
    <row r="120" spans="1:3" ht="12.75">
      <c r="A120" t="s">
        <v>447</v>
      </c>
      <c r="B120" s="145">
        <f>(B6/B26)*(B59/B17)</f>
        <v>249.78614200171089</v>
      </c>
      <c r="C120" s="145">
        <f>(C6/C26)*C119</f>
        <v>14987.168520102654</v>
      </c>
    </row>
    <row r="121" spans="1:3" ht="12.75">
      <c r="A121" t="s">
        <v>448</v>
      </c>
      <c r="B121" s="145">
        <f>(B$62/(B$62+B$63+B$64))*B$120</f>
        <v>0</v>
      </c>
      <c r="C121" s="145">
        <f>(C$62/(C$62+C$63+C$64))*C$120</f>
        <v>0</v>
      </c>
    </row>
    <row r="122" spans="1:3" ht="12.75">
      <c r="A122" t="s">
        <v>457</v>
      </c>
      <c r="B122" s="145">
        <f>(B$63/(B$62+B$63+B$64))*B$120</f>
        <v>249.78614200171089</v>
      </c>
      <c r="C122" s="145">
        <f>(C$63/(C$62+C$63+C$64))*C$120</f>
        <v>0</v>
      </c>
    </row>
    <row r="123" spans="1:3" ht="12.75">
      <c r="A123" t="s">
        <v>458</v>
      </c>
      <c r="B123" s="145">
        <f>(B$64/(B$62+B$63+B$64))*B$120</f>
        <v>0</v>
      </c>
      <c r="C123" s="145">
        <f>(C$64/(C$62+C$63+C$64))*C$120</f>
        <v>14987.168520102654</v>
      </c>
    </row>
    <row r="124" spans="1:3" ht="12.75">
      <c r="A124" t="s">
        <v>459</v>
      </c>
      <c r="B124" s="145">
        <f>B34*B122</f>
        <v>499.57228400342177</v>
      </c>
      <c r="C124" s="145">
        <f>C35*C123</f>
        <v>29974.337040205308</v>
      </c>
    </row>
    <row r="125" spans="1:3" ht="12.75">
      <c r="A125" t="s">
        <v>460</v>
      </c>
      <c r="B125" s="145">
        <f>B59*B29</f>
        <v>20</v>
      </c>
      <c r="C125" s="145">
        <f>C59*C29</f>
        <v>240</v>
      </c>
    </row>
    <row r="126" spans="1:3" ht="12.75">
      <c r="A126" t="s">
        <v>461</v>
      </c>
      <c r="B126" s="146">
        <f>(B59*B29)*(B6/B26)</f>
        <v>208.57142857142858</v>
      </c>
      <c r="C126" s="145">
        <f>(C59*C29)*(C6/C26)</f>
        <v>12514.285714285716</v>
      </c>
    </row>
    <row r="127" spans="1:3" ht="12.75">
      <c r="A127" t="s">
        <v>794</v>
      </c>
      <c r="B127" s="146">
        <f>(((1-B12)*B125)*B10)+((B12*B125)*B11)</f>
        <v>208.79999999999998</v>
      </c>
      <c r="C127" s="145">
        <f>(((1-C12)*C125)*C10)+((C12*C125)*C11)</f>
        <v>2505.6</v>
      </c>
    </row>
    <row r="128" spans="1:3" ht="12.75">
      <c r="A128" t="s">
        <v>795</v>
      </c>
      <c r="B128" s="147">
        <f>B127/B125</f>
        <v>10.44</v>
      </c>
      <c r="C128" s="147">
        <f>C127/C125</f>
        <v>10.44</v>
      </c>
    </row>
    <row r="129" spans="1:3" ht="12.75">
      <c r="A129" s="5" t="s">
        <v>796</v>
      </c>
      <c r="B129" s="146">
        <f>((((1-B12)*B125)*B10)*B13)+(((B12*B125)*B11)*B13)</f>
        <v>190.00799999999998</v>
      </c>
      <c r="C129" s="145">
        <f>((((1-C12)*C125)*C10)*C13)+(((C12*C125)*C11)*C13)</f>
        <v>2280.0959999999995</v>
      </c>
    </row>
    <row r="130" spans="1:3" ht="12.75">
      <c r="A130" t="s">
        <v>462</v>
      </c>
      <c r="B130" s="147">
        <f>(B129/B125)</f>
        <v>9.500399999999999</v>
      </c>
      <c r="C130" s="147">
        <f>(C129/C125)</f>
        <v>9.500399999999997</v>
      </c>
    </row>
    <row r="131" spans="1:3" ht="12.75">
      <c r="A131" t="s">
        <v>463</v>
      </c>
      <c r="B131" s="145">
        <f>(B22+B23+B24)</f>
        <v>35</v>
      </c>
      <c r="C131" s="145">
        <f>(C22+C23+C24)</f>
        <v>28</v>
      </c>
    </row>
    <row r="132" spans="1:3" ht="12.75">
      <c r="A132" t="s">
        <v>464</v>
      </c>
      <c r="B132" s="146">
        <f>(B6/B131)*B29</f>
        <v>10.428571428571429</v>
      </c>
      <c r="C132" s="146">
        <f>(C6/C131)*C29</f>
        <v>13.035714285714286</v>
      </c>
    </row>
    <row r="133" spans="1:3" ht="12.75">
      <c r="A133" t="s">
        <v>465</v>
      </c>
      <c r="B133" s="145">
        <f>(B6/B$26)*B$125</f>
        <v>208.57142857142858</v>
      </c>
      <c r="C133" s="145">
        <f>(C6/C$26)*C$125</f>
        <v>12514.285714285716</v>
      </c>
    </row>
    <row r="134" spans="1:3" ht="12.75">
      <c r="A134" t="s">
        <v>466</v>
      </c>
      <c r="B134" s="145">
        <f>(B133*B130)</f>
        <v>1981.512</v>
      </c>
      <c r="C134" s="145">
        <f>INT(C$133*C$130)</f>
        <v>118890</v>
      </c>
    </row>
    <row r="135" spans="1:3" ht="12.75">
      <c r="A135" t="s">
        <v>467</v>
      </c>
      <c r="B135" s="145">
        <f>INT(B134*B14)</f>
        <v>1931</v>
      </c>
      <c r="C135" s="145">
        <f>INT(C134*C14)</f>
        <v>115917</v>
      </c>
    </row>
    <row r="136" spans="2:3" ht="12.75">
      <c r="B136" s="145"/>
      <c r="C136" s="145"/>
    </row>
    <row r="137" spans="1:3" ht="12.75">
      <c r="A137" s="4" t="s">
        <v>468</v>
      </c>
      <c r="B137" s="145"/>
      <c r="C137" s="145"/>
    </row>
    <row r="138" spans="1:3" ht="12.75">
      <c r="A138" t="s">
        <v>469</v>
      </c>
      <c r="B138" s="146">
        <f>(365/B131)*B29</f>
        <v>10.428571428571429</v>
      </c>
      <c r="C138" s="146">
        <f>(365/C131)*C29</f>
        <v>13.035714285714286</v>
      </c>
    </row>
    <row r="139" spans="1:3" ht="12.75">
      <c r="A139" t="s">
        <v>470</v>
      </c>
      <c r="B139" s="44">
        <f>(365/B$26)*(B59*B29)</f>
        <v>208.57142857142858</v>
      </c>
      <c r="C139" s="44">
        <f>(365/C$26)*(C59*C29)</f>
        <v>12514.285714285716</v>
      </c>
    </row>
    <row r="140" spans="1:3" ht="12.75">
      <c r="A140" t="s">
        <v>471</v>
      </c>
      <c r="B140" s="44">
        <f>(B$139*B$130)</f>
        <v>1981.512</v>
      </c>
      <c r="C140" s="44">
        <f>(C$139*C$130)</f>
        <v>118890.71999999997</v>
      </c>
    </row>
    <row r="141" spans="1:3" ht="12.75">
      <c r="A141" t="s">
        <v>472</v>
      </c>
      <c r="B141" s="44">
        <f>(B140/B25)</f>
        <v>99.0756</v>
      </c>
      <c r="C141" s="44">
        <f>(C140/C25)</f>
        <v>123.84449999999997</v>
      </c>
    </row>
    <row r="142" spans="1:3" ht="12.75">
      <c r="A142" t="s">
        <v>473</v>
      </c>
      <c r="B142" s="44">
        <f>(B96+B101)*B18</f>
        <v>39.01796407185629</v>
      </c>
      <c r="C142" s="44">
        <f>(C96+C101)*C18</f>
        <v>2108.2634730538925</v>
      </c>
    </row>
    <row r="143" ht="12.75">
      <c r="A143" t="s">
        <v>474</v>
      </c>
    </row>
    <row r="144" spans="1:3" ht="12.75">
      <c r="A144" t="s">
        <v>475</v>
      </c>
      <c r="B144" s="46">
        <f>B140/B102</f>
        <v>18.217574273419576</v>
      </c>
      <c r="C144" s="46">
        <f>C140/C102</f>
        <v>22.049645670196924</v>
      </c>
    </row>
    <row r="145" spans="1:3" ht="12.75">
      <c r="A145" t="s">
        <v>476</v>
      </c>
      <c r="B145" s="46">
        <f>(B140/B105)</f>
        <v>17.203138583020344</v>
      </c>
      <c r="C145" s="46">
        <f>(C140/C105)</f>
        <v>20.71801130662187</v>
      </c>
    </row>
    <row r="146" ht="12.75">
      <c r="A146" t="s">
        <v>477</v>
      </c>
    </row>
    <row r="147" spans="1:3" ht="12.75">
      <c r="A147" t="s">
        <v>475</v>
      </c>
      <c r="B147" s="46">
        <f>B139/B102</f>
        <v>1.9175586578901496</v>
      </c>
      <c r="C147" s="46">
        <f>C139/C102</f>
        <v>2.3209176108581673</v>
      </c>
    </row>
    <row r="148" spans="1:3" ht="12.75">
      <c r="A148" t="s">
        <v>476</v>
      </c>
      <c r="B148" s="46">
        <f>(B139/B105)</f>
        <v>1.81078044956216</v>
      </c>
      <c r="C148" s="46">
        <f>(C139/C105)</f>
        <v>2.1807514743191736</v>
      </c>
    </row>
    <row r="149" spans="1:3" ht="12.75">
      <c r="A149" s="3"/>
      <c r="B149" s="43"/>
      <c r="C149" s="43"/>
    </row>
    <row r="150" ht="12.75">
      <c r="A150" t="s">
        <v>577</v>
      </c>
    </row>
  </sheetData>
  <sheetProtection password="C57E" sheet="1"/>
  <printOptions/>
  <pageMargins left="1" right="0.4" top="0.9" bottom="0.8333333333333334" header="0.5" footer="0.33333333333333337"/>
  <pageSetup fitToHeight="3" fitToWidth="3" horizontalDpi="300" verticalDpi="300" orientation="portrait" scale="96" r:id="rId3"/>
  <rowBreaks count="2" manualBreakCount="2">
    <brk id="52" max="2" man="1"/>
    <brk id="106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288"/>
  <sheetViews>
    <sheetView showOutlineSymbols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3" max="3" width="9.7109375" style="13" customWidth="1"/>
    <col min="4" max="4" width="12.00390625" style="13" customWidth="1"/>
    <col min="5" max="5" width="11.28125" style="19" customWidth="1"/>
    <col min="7" max="7" width="11.28125" style="0" customWidth="1"/>
    <col min="8" max="8" width="10.140625" style="0" customWidth="1"/>
  </cols>
  <sheetData>
    <row r="1" spans="1:7" ht="12.75">
      <c r="A1" s="23"/>
      <c r="B1" s="23"/>
      <c r="C1" s="23"/>
      <c r="D1" s="23"/>
      <c r="E1" s="24"/>
      <c r="F1" s="129"/>
      <c r="G1" s="141"/>
    </row>
    <row r="2" spans="1:5" ht="12.75">
      <c r="A2" s="122" t="s">
        <v>415</v>
      </c>
      <c r="E2" s="21" t="str">
        <f>(PRODUCTION!B4)</f>
        <v>On-Farm</v>
      </c>
    </row>
    <row r="3" spans="1:5" ht="12.75">
      <c r="A3" s="118"/>
      <c r="E3" s="173" t="str">
        <f>(PRODUCTION!B5)</f>
        <v>Semen</v>
      </c>
    </row>
    <row r="4" spans="1:5" ht="12.75">
      <c r="A4" t="s">
        <v>508</v>
      </c>
      <c r="E4" s="103">
        <v>60</v>
      </c>
    </row>
    <row r="5" spans="1:5" ht="12.75">
      <c r="A5" t="s">
        <v>509</v>
      </c>
      <c r="E5" s="103">
        <v>0.4</v>
      </c>
    </row>
    <row r="6" spans="1:5" ht="12.75">
      <c r="A6" t="s">
        <v>510</v>
      </c>
      <c r="E6" s="103">
        <v>8.75</v>
      </c>
    </row>
    <row r="7" spans="1:5" ht="12.75">
      <c r="A7" t="s">
        <v>511</v>
      </c>
      <c r="E7" s="104">
        <v>10</v>
      </c>
    </row>
    <row r="8" spans="1:5" ht="12.75">
      <c r="A8" t="s">
        <v>512</v>
      </c>
      <c r="E8" s="104">
        <v>0.05</v>
      </c>
    </row>
    <row r="9" spans="1:5" ht="12.75">
      <c r="A9" t="s">
        <v>513</v>
      </c>
      <c r="E9" s="103">
        <v>6.5</v>
      </c>
    </row>
    <row r="10" spans="1:5" ht="12.75">
      <c r="A10" t="s">
        <v>514</v>
      </c>
      <c r="E10" s="104">
        <v>0.5</v>
      </c>
    </row>
    <row r="11" spans="1:5" ht="12.75">
      <c r="A11" t="s">
        <v>515</v>
      </c>
      <c r="E11" s="104">
        <v>120</v>
      </c>
    </row>
    <row r="12" ht="12.75">
      <c r="E12" s="180"/>
    </row>
    <row r="13" spans="1:5" ht="12.75">
      <c r="A13" s="122" t="s">
        <v>416</v>
      </c>
      <c r="E13" s="180"/>
    </row>
    <row r="14" spans="1:5" ht="12.75">
      <c r="A14" t="s">
        <v>516</v>
      </c>
      <c r="E14" s="103">
        <v>250</v>
      </c>
    </row>
    <row r="15" spans="1:5" ht="12.75">
      <c r="A15" t="s">
        <v>517</v>
      </c>
      <c r="E15" s="105">
        <v>0.28</v>
      </c>
    </row>
    <row r="16" spans="1:7" ht="12.75">
      <c r="A16" s="23"/>
      <c r="B16" s="23"/>
      <c r="C16" s="23"/>
      <c r="D16" s="23"/>
      <c r="E16" s="24"/>
      <c r="F16" s="129"/>
      <c r="G16" s="141"/>
    </row>
    <row r="17" spans="1:7" ht="12.75">
      <c r="A17" s="124"/>
      <c r="B17" s="124"/>
      <c r="C17" s="124"/>
      <c r="D17" s="124"/>
      <c r="E17" s="130"/>
      <c r="F17" s="117"/>
      <c r="G17" s="116"/>
    </row>
    <row r="18" spans="1:5" ht="15.75">
      <c r="A18" s="176" t="s">
        <v>834</v>
      </c>
      <c r="E18" s="175"/>
    </row>
    <row r="19" spans="1:7" ht="12.75">
      <c r="A19" s="23"/>
      <c r="B19" s="23"/>
      <c r="C19" s="23"/>
      <c r="D19" s="23"/>
      <c r="E19" s="24"/>
      <c r="F19" s="129"/>
      <c r="G19" s="141"/>
    </row>
    <row r="20" spans="1:5" ht="12.75">
      <c r="A20" t="s">
        <v>518</v>
      </c>
      <c r="E20" s="117">
        <f>(PRODUCTION!B6)</f>
        <v>365</v>
      </c>
    </row>
    <row r="21" spans="1:5" ht="12.75">
      <c r="A21" t="s">
        <v>519</v>
      </c>
      <c r="E21" s="120">
        <f>INT(PRODUCTION!B66)+1</f>
        <v>2</v>
      </c>
    </row>
    <row r="22" spans="1:5" ht="12.75">
      <c r="A22" t="s">
        <v>520</v>
      </c>
      <c r="E22" s="120">
        <f>(PRODUCTION!B73)</f>
        <v>0.8167664670658683</v>
      </c>
    </row>
    <row r="23" spans="1:5" ht="12.75">
      <c r="A23" t="s">
        <v>521</v>
      </c>
      <c r="E23" s="120">
        <f>(PRODUCTION!B75)</f>
        <v>23.952095808383234</v>
      </c>
    </row>
    <row r="24" spans="1:5" ht="12.75">
      <c r="A24" t="s">
        <v>522</v>
      </c>
      <c r="E24" s="117">
        <f>(PRODUCTION!B34)</f>
        <v>2</v>
      </c>
    </row>
    <row r="25" spans="1:5" ht="12.75">
      <c r="A25" t="s">
        <v>523</v>
      </c>
      <c r="C25" s="117"/>
      <c r="E25" s="120">
        <f>(PRODUCTION!B63)</f>
        <v>47.90419161676647</v>
      </c>
    </row>
    <row r="26" spans="1:5" ht="12.75">
      <c r="A26" t="s">
        <v>524</v>
      </c>
      <c r="C26" s="117"/>
      <c r="E26" s="125">
        <f>(PRODUCTION!B6)/(PRODUCTION!B26)</f>
        <v>10.428571428571429</v>
      </c>
    </row>
    <row r="27" spans="1:5" ht="12.75">
      <c r="A27" t="s">
        <v>525</v>
      </c>
      <c r="C27" s="117"/>
      <c r="E27" s="125">
        <f>(PRODUCTION!B39)</f>
        <v>15</v>
      </c>
    </row>
    <row r="28" spans="1:5" ht="12.75">
      <c r="A28" t="s">
        <v>526</v>
      </c>
      <c r="C28" s="117"/>
      <c r="E28" s="120">
        <f>(E25/E27)*E26</f>
        <v>33.30481893356145</v>
      </c>
    </row>
    <row r="29" spans="1:5" ht="12.75">
      <c r="A29" t="s">
        <v>527</v>
      </c>
      <c r="C29" s="14"/>
      <c r="E29" s="120">
        <f>(PRODUCTION!B120)</f>
        <v>249.78614200171089</v>
      </c>
    </row>
    <row r="30" spans="1:5" ht="12.75">
      <c r="A30" t="s">
        <v>528</v>
      </c>
      <c r="E30" s="120">
        <f>E24*E29</f>
        <v>499.57228400342177</v>
      </c>
    </row>
    <row r="31" spans="1:5" ht="12.75">
      <c r="A31" t="s">
        <v>529</v>
      </c>
      <c r="C31" s="14"/>
      <c r="E31" s="120">
        <f>(PRODUCTION!B126)</f>
        <v>208.57142857142858</v>
      </c>
    </row>
    <row r="32" spans="1:5" ht="12.75">
      <c r="A32" t="s">
        <v>530</v>
      </c>
      <c r="C32" s="14"/>
      <c r="E32" s="131">
        <f>(PRODUCTION!B130)</f>
        <v>9.500399999999999</v>
      </c>
    </row>
    <row r="33" spans="1:5" ht="12.75">
      <c r="A33" t="s">
        <v>531</v>
      </c>
      <c r="E33" s="120">
        <f>(PRODUCTION!B129)</f>
        <v>190.00799999999998</v>
      </c>
    </row>
    <row r="34" spans="1:5" ht="12.75">
      <c r="A34" t="s">
        <v>865</v>
      </c>
      <c r="C34" s="14"/>
      <c r="E34" s="120">
        <f>INT(PRODUCTION!B134)</f>
        <v>1981</v>
      </c>
    </row>
    <row r="35" spans="1:5" ht="12.75">
      <c r="A35" t="s">
        <v>532</v>
      </c>
      <c r="E35" s="120">
        <f>(PRODUCTION!B135)</f>
        <v>1931</v>
      </c>
    </row>
    <row r="36" spans="1:7" ht="12.75">
      <c r="A36" s="23"/>
      <c r="B36" s="23"/>
      <c r="C36" s="23"/>
      <c r="D36" s="23"/>
      <c r="E36" s="24"/>
      <c r="F36" s="129"/>
      <c r="G36" s="141"/>
    </row>
    <row r="37" spans="1:4" ht="15.75">
      <c r="A37" s="1" t="s">
        <v>417</v>
      </c>
      <c r="B37" s="124"/>
      <c r="C37" s="124"/>
      <c r="D37" s="117"/>
    </row>
    <row r="38" spans="1:7" ht="12.75">
      <c r="A38" s="23"/>
      <c r="B38" s="23"/>
      <c r="C38" s="23"/>
      <c r="D38" s="25"/>
      <c r="E38" s="24"/>
      <c r="F38" s="25"/>
      <c r="G38" s="23"/>
    </row>
    <row r="39" spans="3:7" ht="12.75">
      <c r="C39" s="117" t="s">
        <v>718</v>
      </c>
      <c r="D39" s="117" t="s">
        <v>727</v>
      </c>
      <c r="E39" s="130" t="s">
        <v>733</v>
      </c>
      <c r="F39" s="117" t="s">
        <v>727</v>
      </c>
      <c r="G39" s="117" t="s">
        <v>740</v>
      </c>
    </row>
    <row r="40" spans="3:7" ht="12.75">
      <c r="C40" s="117" t="s">
        <v>719</v>
      </c>
      <c r="D40" s="117" t="s">
        <v>728</v>
      </c>
      <c r="E40" s="130" t="s">
        <v>728</v>
      </c>
      <c r="F40" s="117" t="s">
        <v>738</v>
      </c>
      <c r="G40" s="117" t="s">
        <v>738</v>
      </c>
    </row>
    <row r="41" spans="1:7" ht="12.75">
      <c r="A41" s="4" t="s">
        <v>533</v>
      </c>
      <c r="C41" s="117" t="s">
        <v>722</v>
      </c>
      <c r="D41" s="117" t="s">
        <v>729</v>
      </c>
      <c r="E41" s="130" t="s">
        <v>734</v>
      </c>
      <c r="F41" s="117" t="s">
        <v>739</v>
      </c>
      <c r="G41" s="117" t="s">
        <v>739</v>
      </c>
    </row>
    <row r="42" spans="1:7" ht="12.75">
      <c r="A42" s="63" t="s">
        <v>534</v>
      </c>
      <c r="C42" s="117"/>
      <c r="D42" s="117"/>
      <c r="E42" s="130"/>
      <c r="F42" s="117"/>
      <c r="G42" s="116"/>
    </row>
    <row r="43" spans="1:7" ht="12.75">
      <c r="A43" t="s">
        <v>535</v>
      </c>
      <c r="C43" s="66">
        <v>5</v>
      </c>
      <c r="D43" s="66">
        <v>1</v>
      </c>
      <c r="E43" s="77">
        <v>350</v>
      </c>
      <c r="F43" s="66">
        <v>1</v>
      </c>
      <c r="G43" s="106">
        <f>IF(F43&gt;0,(((E43*F43)/C43)/365)*(PRODUCTION!B$6),0)</f>
        <v>70</v>
      </c>
    </row>
    <row r="44" spans="1:7" ht="12.75">
      <c r="A44" t="s">
        <v>536</v>
      </c>
      <c r="C44" s="66">
        <v>3</v>
      </c>
      <c r="D44" s="66">
        <v>1</v>
      </c>
      <c r="E44" s="77">
        <v>40</v>
      </c>
      <c r="F44" s="66">
        <v>1</v>
      </c>
      <c r="G44" s="106">
        <f>IF(F44&gt;0,(((E44*F44)/C44)/365)*(PRODUCTION!B$6),0)</f>
        <v>13.333333333333336</v>
      </c>
    </row>
    <row r="45" spans="1:7" ht="12.75">
      <c r="A45" t="s">
        <v>537</v>
      </c>
      <c r="C45" s="66">
        <v>2</v>
      </c>
      <c r="D45" s="66">
        <v>1</v>
      </c>
      <c r="E45" s="77">
        <v>4.75</v>
      </c>
      <c r="F45" s="66">
        <v>4</v>
      </c>
      <c r="G45" s="106">
        <f>IF(F45&gt;0,(((E45*F45)/C45)/365)*(PRODUCTION!B$6),0)</f>
        <v>9.5</v>
      </c>
    </row>
    <row r="46" spans="1:7" ht="12.75">
      <c r="A46" t="s">
        <v>538</v>
      </c>
      <c r="C46" s="66">
        <v>5</v>
      </c>
      <c r="D46" s="66">
        <v>1</v>
      </c>
      <c r="E46" s="77">
        <v>100</v>
      </c>
      <c r="F46" s="66">
        <v>1</v>
      </c>
      <c r="G46" s="106">
        <f>IF(F46&gt;0,(((E46*F46)/C46)/365)*(PRODUCTION!B$6),0)</f>
        <v>20</v>
      </c>
    </row>
    <row r="47" spans="3:7" ht="12.75">
      <c r="C47" s="117"/>
      <c r="D47" s="117" t="s">
        <v>730</v>
      </c>
      <c r="E47" s="140">
        <f>IF(F43&gt;0,E43*F43,0)+IF(F44&gt;0,E44*F44,0)+IF(F45&gt;0,E45*F45,0)+IF(F46&gt;0,E46*F46,0)</f>
        <v>509</v>
      </c>
      <c r="F47" s="117"/>
      <c r="G47" s="107">
        <f>SUM(G43:G46)</f>
        <v>112.83333333333334</v>
      </c>
    </row>
    <row r="48" spans="1:6" ht="12.75">
      <c r="A48" s="63" t="s">
        <v>539</v>
      </c>
      <c r="B48" s="299" t="s">
        <v>309</v>
      </c>
      <c r="C48" s="298"/>
      <c r="D48" s="117"/>
      <c r="E48" s="130"/>
      <c r="F48" s="117"/>
    </row>
    <row r="49" spans="1:7" ht="12.75">
      <c r="A49" t="s">
        <v>540</v>
      </c>
      <c r="B49" s="296">
        <v>3</v>
      </c>
      <c r="C49" s="298"/>
      <c r="D49" s="66">
        <v>100</v>
      </c>
      <c r="E49" s="77">
        <v>11</v>
      </c>
      <c r="F49" s="15">
        <f>E$28</f>
        <v>33.30481893356145</v>
      </c>
      <c r="G49" s="19">
        <f>IF(D49&gt;0,(E49/D49)*F49,0)</f>
        <v>3.6635300826917594</v>
      </c>
    </row>
    <row r="50" spans="1:7" ht="12.75">
      <c r="A50" t="s">
        <v>541</v>
      </c>
      <c r="B50" s="296">
        <v>3</v>
      </c>
      <c r="C50" s="298"/>
      <c r="D50" s="66">
        <v>100</v>
      </c>
      <c r="E50" s="77">
        <v>20</v>
      </c>
      <c r="F50" s="15">
        <f>E$28</f>
        <v>33.30481893356145</v>
      </c>
      <c r="G50" s="19">
        <f>IF(D50&gt;0,(E50/D50)*F50,0)</f>
        <v>6.660963786712291</v>
      </c>
    </row>
    <row r="51" spans="1:7" ht="12.75">
      <c r="A51" t="s">
        <v>542</v>
      </c>
      <c r="B51" s="296">
        <v>3</v>
      </c>
      <c r="C51" s="298"/>
      <c r="D51" s="66">
        <v>100</v>
      </c>
      <c r="E51" s="77">
        <v>1.1</v>
      </c>
      <c r="F51" s="15">
        <f>E$28</f>
        <v>33.30481893356145</v>
      </c>
      <c r="G51" s="19">
        <f>IF(D51&gt;0,(E51/D51)*F51,0)</f>
        <v>0.366353008269176</v>
      </c>
    </row>
    <row r="52" spans="1:7" ht="12.75">
      <c r="A52" t="s">
        <v>543</v>
      </c>
      <c r="B52" s="296">
        <v>3</v>
      </c>
      <c r="C52" s="298"/>
      <c r="D52" s="66">
        <v>100</v>
      </c>
      <c r="E52" s="77">
        <v>14.5</v>
      </c>
      <c r="F52" s="15">
        <f>E$28</f>
        <v>33.30481893356145</v>
      </c>
      <c r="G52" s="19">
        <f>IF(D52&gt;0,(E52/D52)*F52,0)</f>
        <v>4.82919874536641</v>
      </c>
    </row>
    <row r="53" spans="1:7" ht="12.75">
      <c r="A53" t="s">
        <v>544</v>
      </c>
      <c r="B53" s="296">
        <v>3</v>
      </c>
      <c r="C53" s="298"/>
      <c r="D53" s="66">
        <v>100</v>
      </c>
      <c r="E53" s="77">
        <v>4.65</v>
      </c>
      <c r="F53" s="15">
        <f>E$28</f>
        <v>33.30481893356145</v>
      </c>
      <c r="G53" s="19">
        <f>IF(D53&gt;0,(E53/D53)*F53,0)</f>
        <v>1.5486740804106076</v>
      </c>
    </row>
    <row r="54" spans="1:7" ht="12.75">
      <c r="A54" s="300"/>
      <c r="B54" s="300"/>
      <c r="C54" s="205"/>
      <c r="D54" s="191" t="s">
        <v>730</v>
      </c>
      <c r="E54" s="22">
        <f>IF(F49&gt;0,G49*B49,0)+IF(F50&gt;0,G50*B50,0)+IF(F51&gt;0,G51*B51,0)+IF(F52&gt;0,G52*B52,0)+IF(F53&gt;0,G53*B53,0)</f>
        <v>51.206159110350725</v>
      </c>
      <c r="G54" s="22">
        <f>SUM(G49:G53)</f>
        <v>17.068719703450242</v>
      </c>
    </row>
    <row r="55" spans="1:6" ht="12.75">
      <c r="A55" s="4" t="s">
        <v>545</v>
      </c>
      <c r="F55" s="13"/>
    </row>
    <row r="56" spans="1:6" ht="12.75">
      <c r="A56" s="63" t="s">
        <v>534</v>
      </c>
      <c r="D56" s="117"/>
      <c r="E56" s="130"/>
      <c r="F56" s="117"/>
    </row>
    <row r="57" spans="1:7" ht="12.75">
      <c r="A57" t="s">
        <v>546</v>
      </c>
      <c r="C57" s="66">
        <v>5</v>
      </c>
      <c r="D57" s="66">
        <v>1</v>
      </c>
      <c r="E57" s="77">
        <v>300</v>
      </c>
      <c r="F57" s="66">
        <v>1</v>
      </c>
      <c r="G57" s="19">
        <f>IF(F57&gt;0,(((E57*F57)/C57)/365)*(PRODUCTION!B$6),0)</f>
        <v>60</v>
      </c>
    </row>
    <row r="58" spans="1:7" ht="12.75">
      <c r="A58" t="s">
        <v>547</v>
      </c>
      <c r="C58" s="66">
        <v>5</v>
      </c>
      <c r="D58" s="66">
        <v>1</v>
      </c>
      <c r="E58" s="77">
        <v>265</v>
      </c>
      <c r="F58" s="66">
        <v>1</v>
      </c>
      <c r="G58" s="19">
        <f>IF(F58&gt;0,(((E58*F58)/C58)/365)*(PRODUCTION!B$6),0)</f>
        <v>52.99999999999999</v>
      </c>
    </row>
    <row r="59" spans="1:7" ht="12.75">
      <c r="A59" t="s">
        <v>548</v>
      </c>
      <c r="C59" s="66">
        <v>0</v>
      </c>
      <c r="D59" s="66">
        <v>0</v>
      </c>
      <c r="E59" s="77">
        <v>0</v>
      </c>
      <c r="F59" s="66">
        <v>0</v>
      </c>
      <c r="G59" s="19">
        <f>IF(F59&gt;0,(((E59*F59)/C59)/365)*(PRODUCTION!B$6),0)</f>
        <v>0</v>
      </c>
    </row>
    <row r="60" spans="1:7" ht="12.75">
      <c r="A60" t="s">
        <v>835</v>
      </c>
      <c r="C60" s="66">
        <v>0</v>
      </c>
      <c r="D60" s="66">
        <v>0</v>
      </c>
      <c r="E60" s="77">
        <v>0</v>
      </c>
      <c r="F60" s="66">
        <v>0</v>
      </c>
      <c r="G60" s="19">
        <f>IF(F60&gt;0,(((E60*F60)/C60)/365)*(PRODUCTION!B$6),0)</f>
        <v>0</v>
      </c>
    </row>
    <row r="61" spans="1:7" ht="12.75">
      <c r="A61" t="s">
        <v>549</v>
      </c>
      <c r="C61" s="66">
        <v>0</v>
      </c>
      <c r="D61" s="66">
        <v>0</v>
      </c>
      <c r="E61" s="77">
        <v>0</v>
      </c>
      <c r="F61" s="66">
        <v>0</v>
      </c>
      <c r="G61" s="19">
        <f>IF(F61&gt;0,(((E61*F61)/C61)/365)*(PRODUCTION!B$6),0)</f>
        <v>0</v>
      </c>
    </row>
    <row r="62" spans="1:7" ht="12.75">
      <c r="A62" t="s">
        <v>550</v>
      </c>
      <c r="C62" s="66">
        <v>0</v>
      </c>
      <c r="D62" s="66">
        <v>0</v>
      </c>
      <c r="E62" s="77">
        <v>0</v>
      </c>
      <c r="F62" s="66">
        <v>0</v>
      </c>
      <c r="G62" s="19">
        <f>IF(F62&gt;0,(((E62*F62)/C62)/365)*(PRODUCTION!B$6),0)</f>
        <v>0</v>
      </c>
    </row>
    <row r="63" spans="1:7" ht="12.75">
      <c r="A63" t="s">
        <v>551</v>
      </c>
      <c r="C63" s="66">
        <v>0</v>
      </c>
      <c r="D63" s="66">
        <v>0</v>
      </c>
      <c r="E63" s="77">
        <v>0</v>
      </c>
      <c r="F63" s="66">
        <v>0</v>
      </c>
      <c r="G63" s="19">
        <f>IF(F63&gt;0,(((E63*F63)/C63)/365)*(PRODUCTION!B$6),0)</f>
        <v>0</v>
      </c>
    </row>
    <row r="64" spans="1:7" ht="12.75">
      <c r="A64" t="s">
        <v>552</v>
      </c>
      <c r="C64" s="66">
        <v>0</v>
      </c>
      <c r="D64" s="66">
        <v>0</v>
      </c>
      <c r="E64" s="77">
        <v>0</v>
      </c>
      <c r="F64" s="66">
        <v>0</v>
      </c>
      <c r="G64" s="19">
        <f>IF(F64&gt;0,(((E64*F64)/C64)/365)*(PRODUCTION!B$6),0)</f>
        <v>0</v>
      </c>
    </row>
    <row r="65" spans="3:7" ht="12.75">
      <c r="C65" s="117"/>
      <c r="D65" s="117" t="s">
        <v>730</v>
      </c>
      <c r="E65" s="140">
        <f>IF(F57&gt;0,E57*F57,0)+IF(F58&gt;0,E58*F58,0)+IF(F59&gt;0,E59*F59,0)+IF(F60&gt;0,E60*F60,0)+IF(F61&gt;0,E61*F61,0)+IF(F62&gt;0,E62*F62,0)+IF(F63&gt;0,E63*F63,0)+IF(F64&gt;0,E64*F64,0)</f>
        <v>565</v>
      </c>
      <c r="F65" s="117"/>
      <c r="G65" s="22">
        <f>SUM(G57:G64)</f>
        <v>113</v>
      </c>
    </row>
    <row r="66" spans="1:6" ht="12.75">
      <c r="A66" s="63" t="s">
        <v>539</v>
      </c>
      <c r="B66" s="299" t="s">
        <v>309</v>
      </c>
      <c r="C66" s="298"/>
      <c r="D66" s="117"/>
      <c r="E66" s="130"/>
      <c r="F66" s="117"/>
    </row>
    <row r="67" spans="1:7" ht="12.75">
      <c r="A67" t="s">
        <v>553</v>
      </c>
      <c r="B67" s="296">
        <v>1</v>
      </c>
      <c r="C67" s="297"/>
      <c r="D67" s="74">
        <v>1</v>
      </c>
      <c r="E67" s="97">
        <v>25</v>
      </c>
      <c r="F67" s="74">
        <v>1</v>
      </c>
      <c r="G67" s="19">
        <f aca="true" t="shared" si="0" ref="G67:G72">IF(F67&gt;0,(E67/D67)*F67,0)</f>
        <v>25</v>
      </c>
    </row>
    <row r="68" spans="1:7" ht="12.75">
      <c r="A68" t="s">
        <v>554</v>
      </c>
      <c r="B68" s="296">
        <v>1</v>
      </c>
      <c r="C68" s="297"/>
      <c r="D68" s="74">
        <v>1</v>
      </c>
      <c r="E68" s="97">
        <v>15.7</v>
      </c>
      <c r="F68" s="74">
        <v>1</v>
      </c>
      <c r="G68" s="19">
        <f t="shared" si="0"/>
        <v>15.7</v>
      </c>
    </row>
    <row r="69" spans="1:7" ht="12.75">
      <c r="A69" t="s">
        <v>555</v>
      </c>
      <c r="B69" s="296">
        <v>1</v>
      </c>
      <c r="C69" s="297"/>
      <c r="D69" s="74">
        <v>0</v>
      </c>
      <c r="E69" s="97">
        <v>0</v>
      </c>
      <c r="F69" s="74">
        <v>0</v>
      </c>
      <c r="G69" s="19">
        <f t="shared" si="0"/>
        <v>0</v>
      </c>
    </row>
    <row r="70" spans="1:7" ht="12.75">
      <c r="A70" t="s">
        <v>556</v>
      </c>
      <c r="B70" s="296">
        <v>1</v>
      </c>
      <c r="C70" s="297"/>
      <c r="D70" s="74">
        <v>0</v>
      </c>
      <c r="E70" s="97">
        <v>0</v>
      </c>
      <c r="F70" s="74">
        <v>0</v>
      </c>
      <c r="G70" s="19">
        <f t="shared" si="0"/>
        <v>0</v>
      </c>
    </row>
    <row r="71" spans="1:7" ht="12.75">
      <c r="A71" t="s">
        <v>557</v>
      </c>
      <c r="B71" s="296">
        <v>1</v>
      </c>
      <c r="C71" s="297"/>
      <c r="D71" s="74">
        <v>1</v>
      </c>
      <c r="E71" s="97">
        <v>2.25</v>
      </c>
      <c r="F71" s="74">
        <v>1</v>
      </c>
      <c r="G71" s="19">
        <f t="shared" si="0"/>
        <v>2.25</v>
      </c>
    </row>
    <row r="72" spans="1:7" ht="12.75">
      <c r="A72" t="s">
        <v>558</v>
      </c>
      <c r="B72" s="296">
        <v>1</v>
      </c>
      <c r="C72" s="297"/>
      <c r="D72" s="74">
        <v>0</v>
      </c>
      <c r="E72" s="97">
        <v>0</v>
      </c>
      <c r="F72" s="74">
        <v>0</v>
      </c>
      <c r="G72" s="19">
        <f t="shared" si="0"/>
        <v>0</v>
      </c>
    </row>
    <row r="73" spans="1:7" ht="12.75">
      <c r="A73" t="s">
        <v>559</v>
      </c>
      <c r="B73" s="296">
        <v>1</v>
      </c>
      <c r="C73" s="297"/>
      <c r="D73" s="66">
        <v>100</v>
      </c>
      <c r="E73" s="77">
        <v>2.85</v>
      </c>
      <c r="F73" s="15">
        <f aca="true" t="shared" si="1" ref="F73:F80">F$53</f>
        <v>33.30481893356145</v>
      </c>
      <c r="G73" s="19">
        <f>IF(D73&gt;0,(E73/D73)*F73,0)</f>
        <v>0.9491873396065014</v>
      </c>
    </row>
    <row r="74" spans="1:7" ht="12.75">
      <c r="A74" t="s">
        <v>560</v>
      </c>
      <c r="B74" s="296">
        <v>1</v>
      </c>
      <c r="C74" s="297"/>
      <c r="D74" s="66">
        <v>0</v>
      </c>
      <c r="E74" s="77">
        <v>0</v>
      </c>
      <c r="F74" s="15">
        <f t="shared" si="1"/>
        <v>33.30481893356145</v>
      </c>
      <c r="G74" s="19">
        <f aca="true" t="shared" si="2" ref="G74:G80">IF(D74&gt;0,(E74/D74)*F74,0)</f>
        <v>0</v>
      </c>
    </row>
    <row r="75" spans="1:7" ht="12.75">
      <c r="A75" t="s">
        <v>561</v>
      </c>
      <c r="B75" s="296">
        <v>1</v>
      </c>
      <c r="C75" s="297"/>
      <c r="D75" s="66">
        <v>0</v>
      </c>
      <c r="E75" s="77">
        <v>0</v>
      </c>
      <c r="F75" s="15">
        <f t="shared" si="1"/>
        <v>33.30481893356145</v>
      </c>
      <c r="G75" s="19">
        <f t="shared" si="2"/>
        <v>0</v>
      </c>
    </row>
    <row r="76" spans="1:7" ht="12.75">
      <c r="A76" t="s">
        <v>562</v>
      </c>
      <c r="B76" s="296">
        <v>1</v>
      </c>
      <c r="C76" s="297"/>
      <c r="D76" s="66">
        <v>0</v>
      </c>
      <c r="E76" s="77">
        <v>0</v>
      </c>
      <c r="F76" s="15">
        <f t="shared" si="1"/>
        <v>33.30481893356145</v>
      </c>
      <c r="G76" s="19">
        <f t="shared" si="2"/>
        <v>0</v>
      </c>
    </row>
    <row r="77" spans="1:7" ht="12.75">
      <c r="A77" t="s">
        <v>563</v>
      </c>
      <c r="B77" s="296">
        <v>1</v>
      </c>
      <c r="C77" s="297"/>
      <c r="D77" s="66">
        <v>50</v>
      </c>
      <c r="E77" s="77">
        <v>3.5</v>
      </c>
      <c r="F77" s="15">
        <f t="shared" si="1"/>
        <v>33.30481893356145</v>
      </c>
      <c r="G77" s="19">
        <f t="shared" si="2"/>
        <v>2.3313373253493017</v>
      </c>
    </row>
    <row r="78" spans="1:7" ht="12.75">
      <c r="A78" t="s">
        <v>564</v>
      </c>
      <c r="B78" s="296">
        <v>1</v>
      </c>
      <c r="C78" s="297"/>
      <c r="D78" s="66">
        <v>50</v>
      </c>
      <c r="E78" s="77">
        <v>15</v>
      </c>
      <c r="F78" s="15">
        <f t="shared" si="1"/>
        <v>33.30481893356145</v>
      </c>
      <c r="G78" s="19">
        <f t="shared" si="2"/>
        <v>9.991445680068434</v>
      </c>
    </row>
    <row r="79" spans="1:7" ht="12.75">
      <c r="A79" t="s">
        <v>565</v>
      </c>
      <c r="B79" s="296">
        <v>1</v>
      </c>
      <c r="C79" s="297"/>
      <c r="D79" s="66">
        <v>100</v>
      </c>
      <c r="E79" s="77">
        <v>2.1</v>
      </c>
      <c r="F79" s="15">
        <f t="shared" si="1"/>
        <v>33.30481893356145</v>
      </c>
      <c r="G79" s="19">
        <f t="shared" si="2"/>
        <v>0.6994011976047905</v>
      </c>
    </row>
    <row r="80" spans="1:7" ht="12.75">
      <c r="A80" t="s">
        <v>566</v>
      </c>
      <c r="B80" s="296">
        <v>1</v>
      </c>
      <c r="C80" s="297"/>
      <c r="D80" s="66">
        <v>200</v>
      </c>
      <c r="E80" s="77">
        <v>8.5</v>
      </c>
      <c r="F80" s="120">
        <f t="shared" si="1"/>
        <v>33.30481893356145</v>
      </c>
      <c r="G80" s="19">
        <f t="shared" si="2"/>
        <v>1.4154548046763618</v>
      </c>
    </row>
    <row r="81" spans="4:7" ht="12.75">
      <c r="D81" s="14" t="s">
        <v>730</v>
      </c>
      <c r="E81" s="140">
        <f>IF(F67&gt;0,G67*B67,0)+IF(F68&gt;0,G68*B68,0)+IF(F69&gt;0,G69*B69,0)+IF(F70&gt;0,G70*B70,0)+IF(F71&gt;0,G71*B71,0)+IF(F72&gt;0,G72*B72,0)+IF(F73&gt;0,G73*B73,0)+IF(F74&gt;0,G74*B74,0)+IF(F75&gt;0,G75*B75,0)+IF(F76&gt;0,G76*B76,0)+IF(F77&gt;0,G77*B77,0)+IF(F78&gt;0,G78*B78,0)+IF(F79&gt;0,G79*B79,0)+IF(F80&gt;0,G80*B80,0)</f>
        <v>58.336826347305404</v>
      </c>
      <c r="F81" s="117"/>
      <c r="G81" s="22">
        <f>SUM(G67:G80)</f>
        <v>58.336826347305404</v>
      </c>
    </row>
    <row r="82" ht="12.75">
      <c r="A82" s="4" t="s">
        <v>567</v>
      </c>
    </row>
    <row r="83" ht="12.75">
      <c r="A83" s="63" t="s">
        <v>568</v>
      </c>
    </row>
    <row r="84" spans="1:7" ht="12.75">
      <c r="A84" t="s">
        <v>569</v>
      </c>
      <c r="C84" s="66">
        <v>5</v>
      </c>
      <c r="D84" s="66">
        <v>1</v>
      </c>
      <c r="E84" s="77">
        <v>200</v>
      </c>
      <c r="F84" s="66">
        <v>1</v>
      </c>
      <c r="G84" s="19">
        <f>IF(F84&gt;0,(((E84*F84)/C84)/365)*(PRODUCTION!B$6),0)</f>
        <v>40</v>
      </c>
    </row>
    <row r="85" spans="1:7" ht="12.75">
      <c r="A85" t="s">
        <v>570</v>
      </c>
      <c r="C85" s="66">
        <v>5</v>
      </c>
      <c r="D85" s="66">
        <v>1</v>
      </c>
      <c r="E85" s="77">
        <v>235</v>
      </c>
      <c r="F85" s="66">
        <v>1</v>
      </c>
      <c r="G85" s="19">
        <f>IF(F85&gt;0,(((E85*F85)/C85)/365)*(PRODUCTION!B$6),0)</f>
        <v>47</v>
      </c>
    </row>
    <row r="86" spans="1:7" ht="12.75">
      <c r="A86" t="s">
        <v>571</v>
      </c>
      <c r="C86" s="66">
        <v>5</v>
      </c>
      <c r="D86" s="66">
        <v>1</v>
      </c>
      <c r="E86" s="77">
        <v>10</v>
      </c>
      <c r="F86" s="66">
        <v>2</v>
      </c>
      <c r="G86" s="19">
        <f>IF(F86&gt;0,(((E86*F86)/C86)/365)*(PRODUCTION!B$6),0)</f>
        <v>4</v>
      </c>
    </row>
    <row r="87" spans="1:7" ht="12.75">
      <c r="A87" t="s">
        <v>572</v>
      </c>
      <c r="C87" s="66">
        <v>0</v>
      </c>
      <c r="D87" s="74">
        <v>0</v>
      </c>
      <c r="E87" s="97">
        <v>0</v>
      </c>
      <c r="F87" s="74">
        <v>0</v>
      </c>
      <c r="G87" s="19">
        <f>IF(F87&gt;0,(((E87*F87)/C87)/365)*(PRODUCTION!B$6),0)</f>
        <v>0</v>
      </c>
    </row>
    <row r="88" spans="1:7" ht="12.75">
      <c r="A88" t="s">
        <v>573</v>
      </c>
      <c r="C88" s="66">
        <v>5</v>
      </c>
      <c r="D88" s="66">
        <v>1</v>
      </c>
      <c r="E88" s="77">
        <v>8.75</v>
      </c>
      <c r="F88" s="66">
        <v>2</v>
      </c>
      <c r="G88" s="19">
        <f>IF(F88&gt;0,(((E88*F88)/C88)/365)*(PRODUCTION!B$6),0)</f>
        <v>3.5</v>
      </c>
    </row>
    <row r="89" spans="2:7" ht="12.75">
      <c r="B89" s="116"/>
      <c r="C89" s="117"/>
      <c r="D89" s="117" t="s">
        <v>730</v>
      </c>
      <c r="E89" s="140">
        <f>IF(F84&gt;0,E84*F84,0)+IF(F85&gt;0,E85*F85,0)+IF(F86&gt;0,E86*F86,0)+IF(F87&gt;0,E87*F87,0)+IF(F88&gt;0,E88*F88,0)</f>
        <v>472.5</v>
      </c>
      <c r="F89" s="117"/>
      <c r="G89" s="22">
        <f>SUM(G84:G88)</f>
        <v>94.5</v>
      </c>
    </row>
    <row r="90" spans="1:7" ht="12.75">
      <c r="A90" s="23"/>
      <c r="B90" s="23"/>
      <c r="C90" s="25"/>
      <c r="D90" s="25"/>
      <c r="E90" s="24"/>
      <c r="F90" s="25"/>
      <c r="G90" s="24"/>
    </row>
    <row r="91" spans="1:7" ht="15.75">
      <c r="A91" s="1" t="s">
        <v>417</v>
      </c>
      <c r="C91" s="14"/>
      <c r="D91" s="14"/>
      <c r="E91" s="130"/>
      <c r="F91" s="117"/>
      <c r="G91" s="126"/>
    </row>
    <row r="92" spans="1:7" ht="12.75">
      <c r="A92" s="23"/>
      <c r="B92" s="23"/>
      <c r="C92" s="25"/>
      <c r="D92" s="25"/>
      <c r="E92" s="24"/>
      <c r="F92" s="25"/>
      <c r="G92" s="23"/>
    </row>
    <row r="93" spans="3:7" ht="12.75">
      <c r="C93" s="13" t="s">
        <v>718</v>
      </c>
      <c r="D93" s="13" t="s">
        <v>727</v>
      </c>
      <c r="E93" s="19" t="s">
        <v>733</v>
      </c>
      <c r="F93" s="13" t="s">
        <v>727</v>
      </c>
      <c r="G93" s="117" t="s">
        <v>740</v>
      </c>
    </row>
    <row r="94" spans="3:7" ht="12.75">
      <c r="C94" s="117" t="s">
        <v>719</v>
      </c>
      <c r="D94" s="117" t="s">
        <v>728</v>
      </c>
      <c r="E94" s="130" t="s">
        <v>728</v>
      </c>
      <c r="F94" s="117" t="s">
        <v>738</v>
      </c>
      <c r="G94" s="13" t="s">
        <v>738</v>
      </c>
    </row>
    <row r="95" spans="1:7" ht="12.75">
      <c r="A95" s="4" t="s">
        <v>567</v>
      </c>
      <c r="C95" s="117" t="s">
        <v>723</v>
      </c>
      <c r="D95" s="117" t="s">
        <v>729</v>
      </c>
      <c r="E95" s="130" t="s">
        <v>734</v>
      </c>
      <c r="F95" s="117" t="s">
        <v>739</v>
      </c>
      <c r="G95" s="13" t="s">
        <v>739</v>
      </c>
    </row>
    <row r="96" spans="1:6" ht="12.75">
      <c r="A96" s="63" t="s">
        <v>539</v>
      </c>
      <c r="C96" s="117"/>
      <c r="D96" s="117"/>
      <c r="E96" s="130"/>
      <c r="F96" s="117"/>
    </row>
    <row r="97" spans="1:6" ht="12.75">
      <c r="A97" t="s">
        <v>574</v>
      </c>
      <c r="C97" s="65">
        <v>18</v>
      </c>
      <c r="D97" s="117"/>
      <c r="E97" s="130"/>
      <c r="F97" s="117"/>
    </row>
    <row r="98" spans="1:6" ht="12.75">
      <c r="A98" t="s">
        <v>575</v>
      </c>
      <c r="C98" s="65">
        <v>80</v>
      </c>
      <c r="D98" s="117"/>
      <c r="E98" s="130"/>
      <c r="F98" s="117"/>
    </row>
    <row r="99" spans="1:7" ht="12.75">
      <c r="A99" t="s">
        <v>578</v>
      </c>
      <c r="C99" s="203">
        <v>3</v>
      </c>
      <c r="D99" s="66">
        <v>100</v>
      </c>
      <c r="E99" s="77">
        <v>15</v>
      </c>
      <c r="F99" s="120">
        <f>F$53</f>
        <v>33.30481893356145</v>
      </c>
      <c r="G99" s="19">
        <f>IF(D99&gt;0,(E99/D99)*F99,0)</f>
        <v>4.995722840034217</v>
      </c>
    </row>
    <row r="100" spans="1:7" ht="12.75">
      <c r="A100" t="s">
        <v>345</v>
      </c>
      <c r="C100" s="203">
        <v>0.33</v>
      </c>
      <c r="D100" s="66">
        <v>1</v>
      </c>
      <c r="E100" s="77">
        <v>5.35</v>
      </c>
      <c r="F100" s="120">
        <f>(E30*(C98-C97))/1000</f>
        <v>30.97348160821215</v>
      </c>
      <c r="G100" s="19">
        <f>IF(D100&gt;0,(E100/D100)*F100,0)</f>
        <v>165.708126603935</v>
      </c>
    </row>
    <row r="101" spans="1:7" ht="12.75">
      <c r="A101" t="s">
        <v>5</v>
      </c>
      <c r="C101" s="203">
        <v>1</v>
      </c>
      <c r="D101" s="66">
        <v>1</v>
      </c>
      <c r="E101" s="77">
        <v>0.7</v>
      </c>
      <c r="F101" s="125">
        <f>F100/3.785</f>
        <v>8.183218390544821</v>
      </c>
      <c r="G101" s="19">
        <f>IF(D101&gt;0,(E101/D101)*F101,0)</f>
        <v>5.728252873381375</v>
      </c>
    </row>
    <row r="102" spans="1:7" ht="12.75">
      <c r="A102" s="300"/>
      <c r="B102" s="300"/>
      <c r="D102" s="117" t="s">
        <v>730</v>
      </c>
      <c r="E102" s="140">
        <f>IF(F99&gt;0,G99*C99,0)+IF(F100&gt;0,G100*C100,0)+IF(F101&gt;0,G101*C101,0)</f>
        <v>75.39910317278259</v>
      </c>
      <c r="F102" s="117"/>
      <c r="G102" s="140">
        <f>SUM(G99:G101)</f>
        <v>176.43210231735057</v>
      </c>
    </row>
    <row r="103" spans="1:7" ht="12.75">
      <c r="A103" s="4" t="s">
        <v>579</v>
      </c>
      <c r="D103" s="117"/>
      <c r="E103" s="130"/>
      <c r="F103" s="117"/>
      <c r="G103" s="116"/>
    </row>
    <row r="104" spans="1:6" ht="12.75">
      <c r="A104" s="63" t="s">
        <v>534</v>
      </c>
      <c r="F104" s="13"/>
    </row>
    <row r="105" spans="1:7" ht="12.75">
      <c r="A105" t="s">
        <v>580</v>
      </c>
      <c r="C105" s="66">
        <v>0</v>
      </c>
      <c r="D105" s="66">
        <v>0</v>
      </c>
      <c r="E105" s="77">
        <v>0</v>
      </c>
      <c r="F105" s="66">
        <v>0</v>
      </c>
      <c r="G105" s="19">
        <f>IF(F105&gt;0,(((E105*F105)/C105)/365)*(PRODUCTION!B$6),0)</f>
        <v>0</v>
      </c>
    </row>
    <row r="106" spans="1:7" ht="12.75">
      <c r="A106" t="s">
        <v>581</v>
      </c>
      <c r="C106" s="66">
        <v>0</v>
      </c>
      <c r="D106" s="66">
        <v>0</v>
      </c>
      <c r="E106" s="77">
        <v>0</v>
      </c>
      <c r="F106" s="66">
        <v>0</v>
      </c>
      <c r="G106" s="19">
        <f>IF(F106&gt;0,(((E106*F106)/C106)/365)*(PRODUCTION!B$6),0)</f>
        <v>0</v>
      </c>
    </row>
    <row r="107" spans="2:7" ht="12.75">
      <c r="B107" s="191" t="s">
        <v>310</v>
      </c>
      <c r="C107" s="117"/>
      <c r="D107" s="117" t="s">
        <v>730</v>
      </c>
      <c r="E107" s="140">
        <f>IF(F105&gt;0,E105*F105,0)+IF(F106&gt;0,E106*F106,0)</f>
        <v>0</v>
      </c>
      <c r="F107" s="117"/>
      <c r="G107" s="140">
        <f>SUM(G105:G106)</f>
        <v>0</v>
      </c>
    </row>
    <row r="108" spans="1:7" ht="12.75">
      <c r="A108" s="63" t="s">
        <v>539</v>
      </c>
      <c r="B108" t="s">
        <v>311</v>
      </c>
      <c r="C108" s="117" t="s">
        <v>724</v>
      </c>
      <c r="D108" s="117"/>
      <c r="E108" s="130"/>
      <c r="F108" s="117"/>
      <c r="G108" s="117"/>
    </row>
    <row r="109" spans="1:7" ht="12.75">
      <c r="A109" t="s">
        <v>582</v>
      </c>
      <c r="B109" s="202">
        <v>0.2</v>
      </c>
      <c r="C109" s="73">
        <v>1</v>
      </c>
      <c r="D109" s="74">
        <v>100</v>
      </c>
      <c r="E109" s="97">
        <v>15</v>
      </c>
      <c r="F109" s="120">
        <f>E$30*C109</f>
        <v>499.57228400342177</v>
      </c>
      <c r="G109" s="27">
        <f>IF(C109&gt;0,(E109/D109)*F109*C109,0)</f>
        <v>74.93584260051327</v>
      </c>
    </row>
    <row r="110" spans="1:7" ht="12.75">
      <c r="A110" t="s">
        <v>583</v>
      </c>
      <c r="B110" s="202">
        <v>0</v>
      </c>
      <c r="C110" s="73">
        <v>0</v>
      </c>
      <c r="D110" s="74">
        <v>0</v>
      </c>
      <c r="E110" s="97">
        <v>0</v>
      </c>
      <c r="F110" s="120">
        <f>E$30*C110</f>
        <v>0</v>
      </c>
      <c r="G110" s="27">
        <f>IF(C110&gt;0,(E110/D110)*F110*C110,0)</f>
        <v>0</v>
      </c>
    </row>
    <row r="111" spans="1:7" ht="12.75">
      <c r="A111" t="s">
        <v>584</v>
      </c>
      <c r="B111" s="202">
        <v>0</v>
      </c>
      <c r="C111" s="73">
        <v>0</v>
      </c>
      <c r="D111" s="74">
        <v>0</v>
      </c>
      <c r="E111" s="97">
        <v>0</v>
      </c>
      <c r="F111" s="204"/>
      <c r="G111" s="27">
        <f>IF(C111&gt;0,(E111/D111)*F111*C111,0)</f>
        <v>0</v>
      </c>
    </row>
    <row r="112" spans="1:7" ht="12.75">
      <c r="A112" t="s">
        <v>585</v>
      </c>
      <c r="B112" s="202">
        <v>0</v>
      </c>
      <c r="C112" s="73">
        <v>0</v>
      </c>
      <c r="D112" s="74">
        <v>0</v>
      </c>
      <c r="E112" s="97">
        <v>0</v>
      </c>
      <c r="F112" s="120">
        <f>E$30*C112</f>
        <v>0</v>
      </c>
      <c r="G112" s="27">
        <f>IF(C112&gt;0,(E112/D112)*F112*C112,0)</f>
        <v>0</v>
      </c>
    </row>
    <row r="113" spans="3:7" ht="12.75">
      <c r="C113" s="117"/>
      <c r="D113" s="117" t="s">
        <v>730</v>
      </c>
      <c r="E113" s="140">
        <f>IF(F109&gt;0,G109*B109,0)+IF(F110&gt;0,G110*B110,0)+IF(F111&gt;0,G111*B111,0)+IF(F112&gt;0,G112*B112,0)</f>
        <v>14.987168520102655</v>
      </c>
      <c r="F113" s="120">
        <f>SUM(F109:F112)</f>
        <v>499.57228400342177</v>
      </c>
      <c r="G113" s="140">
        <f>SUM(G109:G112)</f>
        <v>74.93584260051327</v>
      </c>
    </row>
    <row r="114" spans="1:7" ht="12.75">
      <c r="A114" s="4" t="s">
        <v>586</v>
      </c>
      <c r="C114" s="13" t="s">
        <v>719</v>
      </c>
      <c r="D114" s="117"/>
      <c r="E114" s="130"/>
      <c r="F114" s="117"/>
      <c r="G114" s="116"/>
    </row>
    <row r="115" spans="1:7" ht="12.75">
      <c r="A115" s="63" t="s">
        <v>534</v>
      </c>
      <c r="C115" s="13" t="s">
        <v>725</v>
      </c>
      <c r="D115" s="117"/>
      <c r="E115" s="130"/>
      <c r="F115" s="117"/>
      <c r="G115" s="116"/>
    </row>
    <row r="116" spans="1:7" ht="12.75">
      <c r="A116" t="s">
        <v>587</v>
      </c>
      <c r="C116" s="66">
        <v>5</v>
      </c>
      <c r="D116" s="66">
        <v>1</v>
      </c>
      <c r="E116" s="77">
        <v>436</v>
      </c>
      <c r="F116" s="66">
        <v>1</v>
      </c>
      <c r="G116" s="19">
        <f>IF(F116&gt;0,(((E116*F116)/C116)/365)*(PRODUCTION!B6),0)</f>
        <v>87.2</v>
      </c>
    </row>
    <row r="117" spans="1:7" ht="12.75">
      <c r="A117" t="s">
        <v>588</v>
      </c>
      <c r="C117" s="66">
        <v>0</v>
      </c>
      <c r="D117" s="66">
        <v>0</v>
      </c>
      <c r="E117" s="77">
        <v>0</v>
      </c>
      <c r="F117" s="66">
        <v>0</v>
      </c>
      <c r="G117" s="19">
        <f>IF(F117&gt;0,(((E117*F117)/C117)/365)*(PRODUCTION!B6),0)</f>
        <v>0</v>
      </c>
    </row>
    <row r="118" spans="4:7" ht="12.75">
      <c r="D118" s="13" t="s">
        <v>730</v>
      </c>
      <c r="E118" s="22">
        <f>IF(F116&gt;0,E116*F116,0)+IF(F117&gt;0,E117*F117,0)</f>
        <v>436</v>
      </c>
      <c r="F118" s="13"/>
      <c r="G118" s="22">
        <f>SUM(G116:G117)</f>
        <v>87.2</v>
      </c>
    </row>
    <row r="119" spans="1:7" ht="12.75">
      <c r="A119" s="4" t="s">
        <v>589</v>
      </c>
      <c r="D119" s="117"/>
      <c r="E119" s="130"/>
      <c r="F119" s="117"/>
      <c r="G119" s="20"/>
    </row>
    <row r="120" spans="1:7" ht="12.75">
      <c r="A120" s="63" t="s">
        <v>534</v>
      </c>
      <c r="D120" s="117"/>
      <c r="E120" s="130"/>
      <c r="F120" s="117"/>
      <c r="G120" s="20"/>
    </row>
    <row r="121" spans="1:7" ht="12.75">
      <c r="A121" t="s">
        <v>590</v>
      </c>
      <c r="C121" s="66">
        <v>2</v>
      </c>
      <c r="D121" s="74">
        <v>1</v>
      </c>
      <c r="E121" s="97">
        <v>1</v>
      </c>
      <c r="F121" s="74">
        <v>1</v>
      </c>
      <c r="G121" s="19">
        <f>IF(F121&gt;0,(((E121*F121)/C121)/365)*(PRODUCTION!B$6),0)</f>
        <v>0.5</v>
      </c>
    </row>
    <row r="122" spans="1:7" ht="12.75">
      <c r="A122" t="s">
        <v>591</v>
      </c>
      <c r="C122" s="66">
        <v>0</v>
      </c>
      <c r="D122" s="74">
        <v>0</v>
      </c>
      <c r="E122" s="97">
        <v>0</v>
      </c>
      <c r="F122" s="74">
        <v>0</v>
      </c>
      <c r="G122" s="19">
        <f>IF(F122&gt;0,(((E122*F122)/C122)/365)*(PRODUCTION!B$6),0)</f>
        <v>0</v>
      </c>
    </row>
    <row r="123" spans="1:7" ht="12.75">
      <c r="A123" t="s">
        <v>592</v>
      </c>
      <c r="C123" s="66">
        <v>0</v>
      </c>
      <c r="D123" s="74">
        <v>0</v>
      </c>
      <c r="E123" s="97">
        <v>0</v>
      </c>
      <c r="F123" s="74">
        <v>0</v>
      </c>
      <c r="G123" s="19">
        <f>IF(F123&gt;0,(((E123*F123)/C123)/365)*(PRODUCTION!B$6),0)</f>
        <v>0</v>
      </c>
    </row>
    <row r="124" spans="1:7" ht="12.75">
      <c r="A124" t="s">
        <v>593</v>
      </c>
      <c r="C124" s="66">
        <v>2</v>
      </c>
      <c r="D124" s="74">
        <v>1</v>
      </c>
      <c r="E124" s="97">
        <v>3.95</v>
      </c>
      <c r="F124" s="74">
        <v>2</v>
      </c>
      <c r="G124" s="19">
        <f>IF(F124&gt;0,(((E124*F124)/C124)/365)*(PRODUCTION!B$6),0)</f>
        <v>3.9500000000000006</v>
      </c>
    </row>
    <row r="125" spans="3:7" ht="12.75">
      <c r="C125" s="117"/>
      <c r="D125" s="117" t="s">
        <v>730</v>
      </c>
      <c r="E125" s="140">
        <f>IF(F121&gt;0,E121*F121,0)+IF(F122&gt;0,E122*F122,0)+IF(F123&gt;0,E123*F123,0)+IF(F124&gt;0,E124*F124,0)</f>
        <v>8.9</v>
      </c>
      <c r="F125" s="117"/>
      <c r="G125" s="140">
        <f>SUM(G121:G124)</f>
        <v>4.450000000000001</v>
      </c>
    </row>
    <row r="126" spans="1:7" ht="12.75">
      <c r="A126" s="63" t="s">
        <v>539</v>
      </c>
      <c r="B126" s="299" t="s">
        <v>309</v>
      </c>
      <c r="C126" s="298"/>
      <c r="D126" s="117"/>
      <c r="E126" s="130"/>
      <c r="F126" s="117"/>
      <c r="G126" s="130"/>
    </row>
    <row r="127" spans="1:7" ht="12.75">
      <c r="A127" t="s">
        <v>594</v>
      </c>
      <c r="B127" s="296">
        <v>0.2</v>
      </c>
      <c r="C127" s="298"/>
      <c r="D127" s="74">
        <v>100</v>
      </c>
      <c r="E127" s="97">
        <v>32.9</v>
      </c>
      <c r="F127" s="17">
        <f>E30</f>
        <v>499.57228400342177</v>
      </c>
      <c r="G127" s="19">
        <f>IF(D127&gt;0,(E127/D127)*F127,0)</f>
        <v>164.35928143712573</v>
      </c>
    </row>
    <row r="128" spans="1:7" ht="12.75">
      <c r="A128" t="s">
        <v>595</v>
      </c>
      <c r="B128" s="296">
        <v>1</v>
      </c>
      <c r="C128" s="298"/>
      <c r="D128" s="74">
        <v>1</v>
      </c>
      <c r="E128" s="97">
        <v>2.1</v>
      </c>
      <c r="F128" s="74">
        <v>2</v>
      </c>
      <c r="G128" s="19">
        <f>IF(F128&gt;0,(E128/D128)*F128,0)</f>
        <v>4.2</v>
      </c>
    </row>
    <row r="129" spans="4:7" ht="12.75">
      <c r="D129" s="117" t="s">
        <v>730</v>
      </c>
      <c r="E129" s="140">
        <f>IF(F127&gt;0,G127*B127,0)+IF(F128&gt;0,G128*B128,0)</f>
        <v>37.07185628742515</v>
      </c>
      <c r="F129" s="117"/>
      <c r="G129" s="140">
        <f>SUM(G127:G128)</f>
        <v>168.55928143712572</v>
      </c>
    </row>
    <row r="130" spans="1:7" ht="12.75">
      <c r="A130" s="23"/>
      <c r="B130" s="23"/>
      <c r="C130" s="25"/>
      <c r="D130" s="25"/>
      <c r="E130" s="24"/>
      <c r="F130" s="25"/>
      <c r="G130" s="23"/>
    </row>
    <row r="131" spans="1:6" ht="12.75">
      <c r="A131" s="4" t="s">
        <v>596</v>
      </c>
      <c r="C131" s="117"/>
      <c r="D131" s="117"/>
      <c r="E131" s="130"/>
      <c r="F131" s="117"/>
    </row>
    <row r="132" spans="3:6" ht="12.75">
      <c r="C132" s="117"/>
      <c r="D132" s="117"/>
      <c r="E132" s="130"/>
      <c r="F132" s="117"/>
    </row>
    <row r="133" spans="1:6" ht="12.75">
      <c r="A133" t="s">
        <v>597</v>
      </c>
      <c r="C133" s="117"/>
      <c r="D133" s="132">
        <f>(E47+E65+E89+E107+E118+E125+E129)</f>
        <v>2028.4718562874252</v>
      </c>
      <c r="E133" s="130"/>
      <c r="F133" s="117"/>
    </row>
    <row r="134" spans="1:6" ht="12.75">
      <c r="A134" t="s">
        <v>598</v>
      </c>
      <c r="C134" s="117"/>
      <c r="D134" s="117"/>
      <c r="E134" s="130"/>
      <c r="F134" s="117"/>
    </row>
    <row r="135" spans="1:6" ht="12.75">
      <c r="A135" t="s">
        <v>599</v>
      </c>
      <c r="C135" s="132">
        <f>(G47+G65+G89+G107+G118+G125)</f>
        <v>411.98333333333335</v>
      </c>
      <c r="D135" s="117"/>
      <c r="E135" s="130"/>
      <c r="F135" s="117"/>
    </row>
    <row r="136" spans="1:6" ht="12.75">
      <c r="A136" t="s">
        <v>600</v>
      </c>
      <c r="C136" s="132">
        <f>(G54+G81+G102+G113+G129)</f>
        <v>495.33277240574523</v>
      </c>
      <c r="D136" s="117"/>
      <c r="E136" s="130"/>
      <c r="F136" s="117"/>
    </row>
    <row r="137" spans="2:6" ht="12.75">
      <c r="B137" s="2" t="s">
        <v>717</v>
      </c>
      <c r="C137" s="132">
        <f>SUM(C135:C136)</f>
        <v>907.3161057390786</v>
      </c>
      <c r="D137" s="117"/>
      <c r="E137" s="130"/>
      <c r="F137" s="117"/>
    </row>
    <row r="138" spans="1:7" ht="12.75">
      <c r="A138" s="23"/>
      <c r="B138" s="23"/>
      <c r="C138" s="25"/>
      <c r="D138" s="25"/>
      <c r="E138" s="24"/>
      <c r="F138" s="25"/>
      <c r="G138" s="23"/>
    </row>
    <row r="139" spans="4:7" ht="12.75">
      <c r="D139" s="117"/>
      <c r="E139" s="130"/>
      <c r="F139" s="117"/>
      <c r="G139" s="116"/>
    </row>
    <row r="140" spans="4:7" ht="12.75">
      <c r="D140" s="117"/>
      <c r="E140" s="130"/>
      <c r="F140" s="117"/>
      <c r="G140" s="116"/>
    </row>
    <row r="141" spans="1:7" ht="15.75">
      <c r="A141" s="1" t="s">
        <v>601</v>
      </c>
      <c r="C141"/>
      <c r="D141" s="116"/>
      <c r="E141" s="116"/>
      <c r="F141" s="116"/>
      <c r="G141" s="121"/>
    </row>
    <row r="142" spans="1:7" ht="15.75">
      <c r="A142" s="1" t="s">
        <v>421</v>
      </c>
      <c r="D142" s="117"/>
      <c r="E142" s="126"/>
      <c r="F142" s="121"/>
      <c r="G142" s="121"/>
    </row>
    <row r="143" spans="1:7" ht="12.75">
      <c r="A143" s="23"/>
      <c r="B143" s="23"/>
      <c r="C143" s="23"/>
      <c r="D143" s="23"/>
      <c r="E143" s="23"/>
      <c r="F143" s="129"/>
      <c r="G143" s="141"/>
    </row>
    <row r="144" spans="5:7" ht="12.75">
      <c r="E144" s="121" t="s">
        <v>735</v>
      </c>
      <c r="F144" s="116"/>
      <c r="G144" s="121"/>
    </row>
    <row r="145" spans="1:7" ht="12.75">
      <c r="A145" t="s">
        <v>602</v>
      </c>
      <c r="E145" s="98">
        <v>500</v>
      </c>
      <c r="F145" s="13"/>
      <c r="G145" s="121"/>
    </row>
    <row r="146" spans="1:7" ht="12.75">
      <c r="A146" t="s">
        <v>832</v>
      </c>
      <c r="E146" s="151">
        <f>INT((PRODUCTION!B66)+1)</f>
        <v>2</v>
      </c>
      <c r="F146" s="13"/>
      <c r="G146" s="116"/>
    </row>
    <row r="147" spans="1:7" ht="12.75">
      <c r="A147" s="4" t="s">
        <v>603</v>
      </c>
      <c r="E147" s="142">
        <f>(E146*E145)</f>
        <v>1000</v>
      </c>
      <c r="G147" s="121"/>
    </row>
    <row r="148" spans="5:7" ht="12.75">
      <c r="E148" s="27"/>
      <c r="G148" s="121"/>
    </row>
    <row r="149" spans="1:7" ht="12.75">
      <c r="A149" s="4" t="s">
        <v>604</v>
      </c>
      <c r="E149" s="27"/>
      <c r="G149" s="121"/>
    </row>
    <row r="150" spans="1:7" ht="12.75">
      <c r="A150" t="s">
        <v>605</v>
      </c>
      <c r="E150" s="99">
        <v>0</v>
      </c>
      <c r="G150" s="121"/>
    </row>
    <row r="151" spans="1:7" ht="12.75">
      <c r="A151" t="s">
        <v>606</v>
      </c>
      <c r="E151" s="99">
        <v>0</v>
      </c>
      <c r="G151" s="121"/>
    </row>
    <row r="152" spans="1:7" ht="12.75">
      <c r="A152" t="s">
        <v>608</v>
      </c>
      <c r="E152" s="99">
        <v>0</v>
      </c>
      <c r="G152" s="121"/>
    </row>
    <row r="153" spans="1:7" ht="12.75">
      <c r="A153" t="s">
        <v>609</v>
      </c>
      <c r="E153" s="99">
        <v>0</v>
      </c>
      <c r="G153" s="121"/>
    </row>
    <row r="154" spans="1:7" ht="12.75">
      <c r="A154" t="s">
        <v>610</v>
      </c>
      <c r="E154" s="99">
        <v>0</v>
      </c>
      <c r="G154" s="121"/>
    </row>
    <row r="155" spans="1:7" ht="12.75">
      <c r="A155" t="s">
        <v>611</v>
      </c>
      <c r="E155" s="100">
        <v>0</v>
      </c>
      <c r="G155" s="121"/>
    </row>
    <row r="156" spans="1:7" ht="12.75">
      <c r="A156" t="s">
        <v>612</v>
      </c>
      <c r="E156" s="100">
        <v>0</v>
      </c>
      <c r="G156" s="121"/>
    </row>
    <row r="157" spans="1:7" ht="12.75">
      <c r="A157" t="s">
        <v>613</v>
      </c>
      <c r="E157" s="100">
        <v>0</v>
      </c>
      <c r="G157" s="121"/>
    </row>
    <row r="158" spans="1:7" ht="12.75">
      <c r="A158" t="s">
        <v>614</v>
      </c>
      <c r="E158" s="99">
        <v>0</v>
      </c>
      <c r="G158" s="121"/>
    </row>
    <row r="159" spans="1:7" ht="12.75">
      <c r="A159" t="s">
        <v>615</v>
      </c>
      <c r="E159" s="99">
        <v>0</v>
      </c>
      <c r="G159" s="121"/>
    </row>
    <row r="160" spans="1:7" ht="12.75">
      <c r="A160" t="s">
        <v>616</v>
      </c>
      <c r="E160" s="99">
        <v>0</v>
      </c>
      <c r="G160" s="121"/>
    </row>
    <row r="161" spans="4:7" ht="12.75">
      <c r="D161" t="s">
        <v>730</v>
      </c>
      <c r="E161" s="28">
        <f>SUM(E150:E158)</f>
        <v>0</v>
      </c>
      <c r="G161" s="132"/>
    </row>
    <row r="162" spans="6:7" ht="12.75">
      <c r="F162" s="29"/>
      <c r="G162" s="121"/>
    </row>
    <row r="163" spans="1:7" ht="12.75">
      <c r="A163" s="4" t="s">
        <v>617</v>
      </c>
      <c r="F163" s="27"/>
      <c r="G163" s="121"/>
    </row>
    <row r="164" spans="1:7" ht="12.75">
      <c r="A164" t="s">
        <v>618</v>
      </c>
      <c r="E164" s="99">
        <v>0</v>
      </c>
      <c r="G164" s="27"/>
    </row>
    <row r="165" spans="1:7" ht="12.75">
      <c r="A165" t="s">
        <v>619</v>
      </c>
      <c r="E165" s="99">
        <v>0</v>
      </c>
      <c r="G165" s="27"/>
    </row>
    <row r="166" spans="1:7" ht="12.75">
      <c r="A166" t="s">
        <v>620</v>
      </c>
      <c r="E166" s="99">
        <v>0</v>
      </c>
      <c r="G166" s="27"/>
    </row>
    <row r="167" spans="1:7" ht="12.75">
      <c r="A167" t="s">
        <v>621</v>
      </c>
      <c r="E167" s="99">
        <v>0</v>
      </c>
      <c r="G167" s="27"/>
    </row>
    <row r="168" spans="1:7" ht="12.75">
      <c r="A168" t="s">
        <v>622</v>
      </c>
      <c r="E168" s="99">
        <v>0</v>
      </c>
      <c r="G168" s="27"/>
    </row>
    <row r="169" spans="1:7" ht="12.75">
      <c r="A169" t="s">
        <v>623</v>
      </c>
      <c r="E169" s="99">
        <v>0</v>
      </c>
      <c r="G169" s="27"/>
    </row>
    <row r="170" spans="1:7" ht="12.75">
      <c r="A170" t="s">
        <v>624</v>
      </c>
      <c r="E170" s="99">
        <v>0</v>
      </c>
      <c r="G170" s="27"/>
    </row>
    <row r="171" spans="1:7" ht="12.75">
      <c r="A171" t="s">
        <v>625</v>
      </c>
      <c r="E171" s="99">
        <v>0</v>
      </c>
      <c r="G171" s="27"/>
    </row>
    <row r="172" spans="1:7" ht="12.75">
      <c r="A172" t="s">
        <v>626</v>
      </c>
      <c r="E172" s="99">
        <v>0</v>
      </c>
      <c r="G172" s="27"/>
    </row>
    <row r="173" spans="1:7" ht="12.75">
      <c r="A173" t="s">
        <v>627</v>
      </c>
      <c r="E173" s="99">
        <v>0</v>
      </c>
      <c r="G173" s="27"/>
    </row>
    <row r="174" spans="1:7" ht="12.75">
      <c r="A174" t="s">
        <v>628</v>
      </c>
      <c r="E174" s="99">
        <v>0</v>
      </c>
      <c r="G174" s="27"/>
    </row>
    <row r="175" spans="1:7" ht="12.75">
      <c r="A175" t="s">
        <v>629</v>
      </c>
      <c r="E175" s="99">
        <v>0</v>
      </c>
      <c r="G175" s="121"/>
    </row>
    <row r="176" spans="1:7" ht="12.75">
      <c r="A176" t="s">
        <v>630</v>
      </c>
      <c r="E176" s="100">
        <v>0</v>
      </c>
      <c r="G176" s="121"/>
    </row>
    <row r="177" spans="1:7" ht="12.75">
      <c r="A177" t="s">
        <v>631</v>
      </c>
      <c r="E177" s="100">
        <v>0</v>
      </c>
      <c r="G177" s="121"/>
    </row>
    <row r="178" spans="1:7" ht="12.75">
      <c r="A178" t="s">
        <v>632</v>
      </c>
      <c r="E178" s="99">
        <v>0</v>
      </c>
      <c r="G178" s="121"/>
    </row>
    <row r="179" spans="1:7" ht="12.75">
      <c r="A179" t="s">
        <v>616</v>
      </c>
      <c r="E179" s="99">
        <v>0</v>
      </c>
      <c r="G179" s="27"/>
    </row>
    <row r="180" spans="4:7" ht="12.75">
      <c r="D180" s="2" t="s">
        <v>730</v>
      </c>
      <c r="E180" s="28">
        <f>SUM(E164:E178)</f>
        <v>0</v>
      </c>
      <c r="G180" s="28"/>
    </row>
    <row r="181" spans="1:7" ht="12.75">
      <c r="A181" s="23"/>
      <c r="B181" s="23"/>
      <c r="C181" s="23"/>
      <c r="D181" s="23"/>
      <c r="E181" s="23"/>
      <c r="F181" s="129"/>
      <c r="G181" s="141"/>
    </row>
    <row r="182" spans="1:7" ht="18">
      <c r="A182" s="1" t="s">
        <v>601</v>
      </c>
      <c r="C182" s="31"/>
      <c r="D182"/>
      <c r="E182" s="2"/>
      <c r="F182" s="30"/>
      <c r="G182" s="30"/>
    </row>
    <row r="183" spans="1:7" ht="12.75">
      <c r="A183" s="23"/>
      <c r="B183" s="23"/>
      <c r="C183" s="23"/>
      <c r="D183" s="23"/>
      <c r="E183" s="23"/>
      <c r="F183" s="129"/>
      <c r="G183" s="141"/>
    </row>
    <row r="184" spans="6:7" ht="12.75">
      <c r="F184" s="121"/>
      <c r="G184" s="121"/>
    </row>
    <row r="185" spans="5:7" ht="12.75">
      <c r="E185" s="13" t="s">
        <v>735</v>
      </c>
      <c r="F185" s="121"/>
      <c r="G185" s="121"/>
    </row>
    <row r="186" spans="1:7" ht="12.75">
      <c r="A186" s="4" t="s">
        <v>633</v>
      </c>
      <c r="F186" s="27"/>
      <c r="G186" s="27"/>
    </row>
    <row r="187" spans="1:7" ht="12.75">
      <c r="A187" t="s">
        <v>634</v>
      </c>
      <c r="E187" s="99">
        <v>0</v>
      </c>
      <c r="G187" s="27"/>
    </row>
    <row r="188" spans="1:7" ht="12.75">
      <c r="A188" t="s">
        <v>619</v>
      </c>
      <c r="E188" s="99">
        <v>0</v>
      </c>
      <c r="G188" s="27"/>
    </row>
    <row r="189" spans="1:7" ht="12.75">
      <c r="A189" t="s">
        <v>620</v>
      </c>
      <c r="E189" s="99">
        <v>0</v>
      </c>
      <c r="G189" s="27"/>
    </row>
    <row r="190" spans="1:7" ht="12.75">
      <c r="A190" t="s">
        <v>621</v>
      </c>
      <c r="E190" s="99">
        <v>0</v>
      </c>
      <c r="G190" s="27"/>
    </row>
    <row r="191" spans="1:7" ht="12.75">
      <c r="A191" t="s">
        <v>624</v>
      </c>
      <c r="E191" s="99">
        <v>0</v>
      </c>
      <c r="G191" s="27"/>
    </row>
    <row r="192" spans="1:7" ht="12.75">
      <c r="A192" t="s">
        <v>625</v>
      </c>
      <c r="E192" s="99">
        <v>0</v>
      </c>
      <c r="G192" s="27"/>
    </row>
    <row r="193" spans="1:7" ht="12.75">
      <c r="A193" t="s">
        <v>626</v>
      </c>
      <c r="E193" s="99">
        <v>0</v>
      </c>
      <c r="G193" s="27"/>
    </row>
    <row r="194" spans="1:7" ht="12.75">
      <c r="A194" t="s">
        <v>635</v>
      </c>
      <c r="E194" s="99">
        <v>0</v>
      </c>
      <c r="G194" s="27"/>
    </row>
    <row r="195" spans="1:7" ht="12.75">
      <c r="A195" t="s">
        <v>636</v>
      </c>
      <c r="E195" s="99">
        <v>0</v>
      </c>
      <c r="G195" s="27"/>
    </row>
    <row r="196" spans="1:7" ht="12.75">
      <c r="A196" t="s">
        <v>637</v>
      </c>
      <c r="E196" s="99">
        <v>0</v>
      </c>
      <c r="G196" s="27"/>
    </row>
    <row r="197" spans="1:7" ht="12.75">
      <c r="A197" t="s">
        <v>638</v>
      </c>
      <c r="E197" s="99">
        <v>0</v>
      </c>
      <c r="G197" s="27"/>
    </row>
    <row r="198" spans="1:7" ht="12.75">
      <c r="A198" t="s">
        <v>639</v>
      </c>
      <c r="E198" s="99">
        <v>0</v>
      </c>
      <c r="G198" s="27"/>
    </row>
    <row r="199" spans="1:7" ht="12.75">
      <c r="A199" t="s">
        <v>640</v>
      </c>
      <c r="E199" s="99">
        <v>0</v>
      </c>
      <c r="G199" s="27"/>
    </row>
    <row r="200" spans="1:7" ht="12.75">
      <c r="A200" t="s">
        <v>641</v>
      </c>
      <c r="E200" s="99">
        <v>0</v>
      </c>
      <c r="G200" s="27"/>
    </row>
    <row r="201" spans="1:7" ht="12.75">
      <c r="A201" t="s">
        <v>642</v>
      </c>
      <c r="E201" s="99">
        <v>0</v>
      </c>
      <c r="G201" s="27"/>
    </row>
    <row r="202" spans="1:7" ht="12.75">
      <c r="A202" t="s">
        <v>643</v>
      </c>
      <c r="E202" s="99">
        <v>0</v>
      </c>
      <c r="G202" s="27"/>
    </row>
    <row r="203" spans="1:7" ht="12.75">
      <c r="A203" t="s">
        <v>644</v>
      </c>
      <c r="E203" s="99">
        <v>0</v>
      </c>
      <c r="G203" s="27"/>
    </row>
    <row r="204" spans="1:7" ht="12.75">
      <c r="A204" t="s">
        <v>645</v>
      </c>
      <c r="E204" s="99">
        <v>0</v>
      </c>
      <c r="G204" s="27"/>
    </row>
    <row r="205" spans="1:7" ht="12.75">
      <c r="A205" t="s">
        <v>646</v>
      </c>
      <c r="E205" s="99">
        <v>0</v>
      </c>
      <c r="G205" s="27"/>
    </row>
    <row r="206" spans="1:7" ht="12.75">
      <c r="A206" t="s">
        <v>616</v>
      </c>
      <c r="E206" s="99">
        <v>0</v>
      </c>
      <c r="G206" s="27"/>
    </row>
    <row r="207" spans="4:7" ht="12.75">
      <c r="D207" s="2" t="s">
        <v>730</v>
      </c>
      <c r="E207" s="132">
        <f>SUM(E187:E206)</f>
        <v>0</v>
      </c>
      <c r="F207" s="116"/>
      <c r="G207" s="132"/>
    </row>
    <row r="208" spans="5:7" ht="12.75">
      <c r="E208" s="132"/>
      <c r="F208" s="116"/>
      <c r="G208" s="132"/>
    </row>
    <row r="209" spans="3:7" ht="12.75">
      <c r="C209" s="117"/>
      <c r="D209" s="126" t="s">
        <v>731</v>
      </c>
      <c r="E209" s="132">
        <f>(E161+E180+E207)</f>
        <v>0</v>
      </c>
      <c r="F209" s="116"/>
      <c r="G209" s="132"/>
    </row>
    <row r="210" spans="1:7" ht="12.75">
      <c r="A210" s="4" t="s">
        <v>647</v>
      </c>
      <c r="C210" s="117"/>
      <c r="D210" s="126"/>
      <c r="E210" s="121"/>
      <c r="F210" s="117"/>
      <c r="G210" s="121"/>
    </row>
    <row r="211" spans="1:7" ht="12.75">
      <c r="A211" t="s">
        <v>648</v>
      </c>
      <c r="C211" s="117"/>
      <c r="D211" s="126"/>
      <c r="E211" s="70">
        <v>7</v>
      </c>
      <c r="F211" s="117"/>
      <c r="G211" s="121"/>
    </row>
    <row r="212" spans="1:7" ht="12.75">
      <c r="A212" t="s">
        <v>649</v>
      </c>
      <c r="C212" s="117"/>
      <c r="D212" s="126"/>
      <c r="E212" s="101">
        <v>0.8</v>
      </c>
      <c r="F212" s="117"/>
      <c r="G212" s="121"/>
    </row>
    <row r="213" spans="1:7" ht="12.75">
      <c r="A213" t="s">
        <v>650</v>
      </c>
      <c r="C213" s="117"/>
      <c r="D213" s="126"/>
      <c r="E213" s="101">
        <v>0.08</v>
      </c>
      <c r="F213" s="117"/>
      <c r="G213" s="121"/>
    </row>
    <row r="214" spans="1:7" ht="12.75">
      <c r="A214" t="s">
        <v>651</v>
      </c>
      <c r="C214" s="117"/>
      <c r="D214" s="126"/>
      <c r="E214" s="102">
        <v>7</v>
      </c>
      <c r="F214" s="117"/>
      <c r="G214" s="121"/>
    </row>
    <row r="215" spans="1:7" ht="12.75">
      <c r="A215" t="s">
        <v>652</v>
      </c>
      <c r="C215" s="117"/>
      <c r="D215" s="126"/>
      <c r="E215" s="69">
        <v>0.005</v>
      </c>
      <c r="F215" s="117"/>
      <c r="G215" s="121"/>
    </row>
    <row r="216" spans="1:7" ht="12.75">
      <c r="A216" t="s">
        <v>653</v>
      </c>
      <c r="C216" s="117"/>
      <c r="D216" s="126"/>
      <c r="E216" s="69">
        <v>0.01</v>
      </c>
      <c r="F216" s="117"/>
      <c r="G216" s="121"/>
    </row>
    <row r="217" spans="5:7" ht="12.75">
      <c r="E217" s="291"/>
      <c r="F217" s="117"/>
      <c r="G217" s="121"/>
    </row>
    <row r="218" spans="1:7" ht="12.75">
      <c r="A218" s="4" t="s">
        <v>654</v>
      </c>
      <c r="C218" s="117"/>
      <c r="D218" s="126"/>
      <c r="E218" s="121"/>
      <c r="F218" s="117"/>
      <c r="G218" s="121"/>
    </row>
    <row r="219" spans="1:7" ht="12.75">
      <c r="A219" t="s">
        <v>655</v>
      </c>
      <c r="C219" s="117"/>
      <c r="D219" s="126"/>
      <c r="E219" s="121">
        <f>IF(E209&gt;0,E209*E212,E147*E212)</f>
        <v>800</v>
      </c>
      <c r="F219" s="117"/>
      <c r="G219" s="121"/>
    </row>
    <row r="220" spans="1:7" ht="12.75">
      <c r="A220" t="s">
        <v>656</v>
      </c>
      <c r="C220" s="117"/>
      <c r="D220" s="117"/>
      <c r="E220" s="132">
        <f>PMT(E213,E214,-(E219))</f>
        <v>153.65792114272836</v>
      </c>
      <c r="F220" s="117"/>
      <c r="G220" s="121"/>
    </row>
    <row r="221" spans="1:7" ht="12.75">
      <c r="A221" t="s">
        <v>657</v>
      </c>
      <c r="D221" s="117"/>
      <c r="E221" s="132">
        <f>IF(E209&gt;0,(E209-E219)/E211,(E147-E219)/E211)</f>
        <v>28.571428571428573</v>
      </c>
      <c r="F221" s="117"/>
      <c r="G221" s="121"/>
    </row>
    <row r="222" spans="1:7" ht="12.75">
      <c r="A222" t="s">
        <v>658</v>
      </c>
      <c r="C222" s="117"/>
      <c r="D222" s="117"/>
      <c r="E222" s="140">
        <f>((E147+C135)*E215)+((E147+C135)*E216)</f>
        <v>21.179750000000002</v>
      </c>
      <c r="F222" s="117"/>
      <c r="G222" s="121"/>
    </row>
    <row r="223" spans="3:7" ht="12.75">
      <c r="C223" s="117"/>
      <c r="D223" s="126" t="s">
        <v>361</v>
      </c>
      <c r="E223" s="132">
        <f>SUM(E220:E222)</f>
        <v>203.40909971415695</v>
      </c>
      <c r="F223" s="117"/>
      <c r="G223" s="121"/>
    </row>
    <row r="224" spans="1:7" ht="12.75">
      <c r="A224" s="23"/>
      <c r="B224" s="23"/>
      <c r="C224" s="23"/>
      <c r="D224" s="23"/>
      <c r="E224" s="23"/>
      <c r="F224" s="129"/>
      <c r="G224" s="141"/>
    </row>
    <row r="225" spans="6:7" ht="12.75">
      <c r="F225" s="121"/>
      <c r="G225" s="121"/>
    </row>
    <row r="226" spans="1:7" ht="15.75">
      <c r="A226" s="1" t="s">
        <v>659</v>
      </c>
      <c r="E226" s="61"/>
      <c r="F226" s="121"/>
      <c r="G226" s="121"/>
    </row>
    <row r="227" spans="1:7" ht="12.75">
      <c r="A227" s="23"/>
      <c r="B227" s="23"/>
      <c r="C227" s="25"/>
      <c r="D227" s="25"/>
      <c r="E227" s="24"/>
      <c r="F227" s="129"/>
      <c r="G227" s="141"/>
    </row>
    <row r="228" spans="1:7" ht="12.75">
      <c r="A228" s="4" t="s">
        <v>660</v>
      </c>
      <c r="E228" s="22" t="str">
        <f>(PRODUCTION!B4)</f>
        <v>On-Farm</v>
      </c>
      <c r="F228" s="121"/>
      <c r="G228" s="121"/>
    </row>
    <row r="229" spans="1:7" ht="12.75">
      <c r="A229" t="s">
        <v>661</v>
      </c>
      <c r="E229" s="71">
        <v>6</v>
      </c>
      <c r="F229" s="121"/>
      <c r="G229" s="121"/>
    </row>
    <row r="230" spans="1:7" ht="12.75">
      <c r="A230" t="s">
        <v>662</v>
      </c>
      <c r="E230" s="77">
        <v>0.06</v>
      </c>
      <c r="F230" s="121"/>
      <c r="G230" s="121"/>
    </row>
    <row r="231" spans="1:7" ht="12.75">
      <c r="A231" s="4" t="s">
        <v>663</v>
      </c>
      <c r="E231" s="117"/>
      <c r="F231" s="121"/>
      <c r="G231" s="121"/>
    </row>
    <row r="232" spans="1:7" ht="12.75">
      <c r="A232" t="s">
        <v>518</v>
      </c>
      <c r="E232" s="120">
        <f>(PRODUCTION!C$6)</f>
        <v>365</v>
      </c>
      <c r="F232" s="121"/>
      <c r="G232" s="121"/>
    </row>
    <row r="233" spans="1:7" ht="12.75">
      <c r="A233" t="s">
        <v>664</v>
      </c>
      <c r="E233" s="120">
        <f>(E21*E229)*E232</f>
        <v>4380</v>
      </c>
      <c r="F233" s="121"/>
      <c r="G233" s="121"/>
    </row>
    <row r="234" spans="1:7" ht="12.75">
      <c r="A234" t="s">
        <v>665</v>
      </c>
      <c r="E234" s="132">
        <f>(E21*E229*E232*E230)</f>
        <v>262.8</v>
      </c>
      <c r="F234" s="121"/>
      <c r="G234" s="121"/>
    </row>
    <row r="235" spans="1:7" ht="12.75">
      <c r="A235" s="23"/>
      <c r="B235" s="23"/>
      <c r="C235" s="25"/>
      <c r="D235" s="25"/>
      <c r="E235" s="24"/>
      <c r="F235" s="129"/>
      <c r="G235" s="141"/>
    </row>
    <row r="236" spans="1:7" ht="15.75">
      <c r="A236" s="1" t="s">
        <v>666</v>
      </c>
      <c r="F236" s="121"/>
      <c r="G236" s="121"/>
    </row>
    <row r="237" spans="1:7" ht="12.75">
      <c r="A237" s="23"/>
      <c r="B237" s="23"/>
      <c r="C237" s="25"/>
      <c r="D237" s="25"/>
      <c r="E237" s="24"/>
      <c r="F237" s="129"/>
      <c r="G237" s="141"/>
    </row>
    <row r="238" spans="1:7" ht="12.75">
      <c r="A238" s="4" t="s">
        <v>660</v>
      </c>
      <c r="E238" s="22" t="str">
        <f>E228</f>
        <v>On-Farm</v>
      </c>
      <c r="F238" s="121"/>
      <c r="G238" s="121"/>
    </row>
    <row r="239" spans="1:7" ht="12.75">
      <c r="A239" t="s">
        <v>667</v>
      </c>
      <c r="E239" s="70">
        <v>2</v>
      </c>
      <c r="F239" s="121"/>
      <c r="G239" s="121"/>
    </row>
    <row r="240" spans="1:7" ht="12.75">
      <c r="A240" t="s">
        <v>668</v>
      </c>
      <c r="E240" s="66">
        <v>10</v>
      </c>
      <c r="F240" s="121"/>
      <c r="G240" s="121"/>
    </row>
    <row r="241" spans="1:7" ht="12.75">
      <c r="A241" t="s">
        <v>669</v>
      </c>
      <c r="E241" s="66">
        <v>10</v>
      </c>
      <c r="F241" s="121"/>
      <c r="G241" s="121"/>
    </row>
    <row r="242" spans="1:7" ht="12.75">
      <c r="A242" t="s">
        <v>670</v>
      </c>
      <c r="E242" s="66">
        <v>20</v>
      </c>
      <c r="F242" s="121"/>
      <c r="G242" s="121"/>
    </row>
    <row r="243" spans="1:7" ht="12.75">
      <c r="A243" t="s">
        <v>511</v>
      </c>
      <c r="E243" s="77">
        <v>10</v>
      </c>
      <c r="F243" s="121"/>
      <c r="G243" s="121"/>
    </row>
    <row r="244" spans="1:7" ht="12.75">
      <c r="A244" t="s">
        <v>756</v>
      </c>
      <c r="E244" s="292">
        <v>2</v>
      </c>
      <c r="F244" s="121"/>
      <c r="G244" s="121"/>
    </row>
    <row r="245" spans="1:7" ht="12.75">
      <c r="A245" t="s">
        <v>849</v>
      </c>
      <c r="E245" s="153">
        <f>(PRODUCTION!B38)</f>
        <v>2</v>
      </c>
      <c r="F245" s="121"/>
      <c r="G245" s="121"/>
    </row>
    <row r="247" spans="1:7" ht="12.75">
      <c r="A247" s="4" t="s">
        <v>663</v>
      </c>
      <c r="E247" s="13"/>
      <c r="F247" s="121"/>
      <c r="G247" s="121"/>
    </row>
    <row r="248" spans="1:7" ht="12.75">
      <c r="A248" t="s">
        <v>518</v>
      </c>
      <c r="E248" s="15">
        <f>(PRODUCTION!B$6)</f>
        <v>365</v>
      </c>
      <c r="F248" s="121"/>
      <c r="G248" s="121"/>
    </row>
    <row r="249" spans="1:7" ht="12.75">
      <c r="A249" t="s">
        <v>671</v>
      </c>
      <c r="E249" s="41">
        <f>D295/(PRODUCTION!B26)</f>
        <v>10.428571428571429</v>
      </c>
      <c r="F249" s="121"/>
      <c r="G249" s="121"/>
    </row>
    <row r="250" spans="1:7" ht="12.75">
      <c r="A250" t="s">
        <v>672</v>
      </c>
      <c r="E250" s="15">
        <f>(PRODUCTION!B63)/(PRODUCTION!B39)</f>
        <v>3.193612774451098</v>
      </c>
      <c r="F250" s="121"/>
      <c r="G250" s="121"/>
    </row>
    <row r="251" spans="1:7" ht="12.75">
      <c r="A251" t="s">
        <v>526</v>
      </c>
      <c r="D251" s="117"/>
      <c r="E251" s="120">
        <f>(PRODUCTION!B$63)/(PRODUCTION!B$39)*((PRODUCTION!B$6)/(PRODUCTION!B$26))</f>
        <v>33.30481893356145</v>
      </c>
      <c r="F251" s="121"/>
      <c r="G251" s="121"/>
    </row>
    <row r="252" spans="1:7" ht="12.75">
      <c r="A252" t="s">
        <v>673</v>
      </c>
      <c r="D252" s="117"/>
      <c r="E252" s="120">
        <f>F113</f>
        <v>499.57228400342177</v>
      </c>
      <c r="F252" s="121"/>
      <c r="G252" s="121"/>
    </row>
    <row r="253" spans="1:7" ht="12.75">
      <c r="A253" t="s">
        <v>836</v>
      </c>
      <c r="D253" s="117"/>
      <c r="E253" s="121">
        <f>((E21*D295*E239)/60)*E243</f>
        <v>243.33333333333331</v>
      </c>
      <c r="F253" s="121"/>
      <c r="G253" s="121"/>
    </row>
    <row r="254" spans="1:7" ht="12.75">
      <c r="A254" t="s">
        <v>674</v>
      </c>
      <c r="D254" s="117"/>
      <c r="E254" s="121">
        <f>((E251*E240)/60)*E243</f>
        <v>55.508031555935744</v>
      </c>
      <c r="F254" s="121"/>
      <c r="G254" s="121"/>
    </row>
    <row r="255" spans="1:7" ht="12.75">
      <c r="A255" t="s">
        <v>675</v>
      </c>
      <c r="D255" s="117"/>
      <c r="E255" s="121">
        <f>(E251*E241/60)*E243</f>
        <v>55.508031555935744</v>
      </c>
      <c r="F255" s="121"/>
      <c r="G255" s="121"/>
    </row>
    <row r="256" spans="1:7" ht="12.75">
      <c r="A256" t="s">
        <v>676</v>
      </c>
      <c r="D256" s="117"/>
      <c r="E256" s="121">
        <f>((PRODUCTION!B6)/(PRODUCTION!B26)*(E244))*(E242/60)*E243</f>
        <v>69.52380952380952</v>
      </c>
      <c r="F256" s="121"/>
      <c r="G256" s="121"/>
    </row>
    <row r="257" spans="4:7" ht="12.75">
      <c r="D257" s="126" t="s">
        <v>717</v>
      </c>
      <c r="E257" s="132">
        <f>SUM(E253:E256)</f>
        <v>423.87320596901435</v>
      </c>
      <c r="F257" s="121"/>
      <c r="G257" s="121"/>
    </row>
    <row r="258" spans="1:7" ht="12.75">
      <c r="A258" s="23"/>
      <c r="B258" s="23"/>
      <c r="C258" s="25"/>
      <c r="D258" s="25"/>
      <c r="E258" s="24"/>
      <c r="F258" s="129"/>
      <c r="G258" s="141"/>
    </row>
    <row r="259" spans="1:7" ht="15.75">
      <c r="A259" s="1" t="s">
        <v>875</v>
      </c>
      <c r="F259" s="121"/>
      <c r="G259" s="121"/>
    </row>
    <row r="260" spans="1:7" ht="12.75">
      <c r="A260" s="23"/>
      <c r="B260" s="23"/>
      <c r="C260" s="25"/>
      <c r="D260" s="25"/>
      <c r="E260" s="24"/>
      <c r="F260" s="129"/>
      <c r="G260" s="141"/>
    </row>
    <row r="261" spans="1:7" ht="12.75">
      <c r="A261" t="s">
        <v>518</v>
      </c>
      <c r="E261" s="15">
        <f>(PRODUCTION!B$6)</f>
        <v>365</v>
      </c>
      <c r="F261" s="121"/>
      <c r="G261" s="121"/>
    </row>
    <row r="262" spans="1:7" ht="12.75">
      <c r="A262" s="124"/>
      <c r="B262" s="124"/>
      <c r="C262" s="117"/>
      <c r="D262" s="117"/>
      <c r="E262" s="130"/>
      <c r="F262" s="117"/>
      <c r="G262" s="116"/>
    </row>
    <row r="263" spans="1:7" ht="12.75">
      <c r="A263" s="4" t="s">
        <v>660</v>
      </c>
      <c r="E263" s="22" t="str">
        <f>E$228</f>
        <v>On-Farm</v>
      </c>
      <c r="F263" s="121"/>
      <c r="G263" s="121"/>
    </row>
    <row r="264" spans="1:7" ht="12.75">
      <c r="A264" t="s">
        <v>677</v>
      </c>
      <c r="E264" s="70">
        <v>16</v>
      </c>
      <c r="F264" s="121"/>
      <c r="G264" s="121"/>
    </row>
    <row r="265" spans="1:7" ht="12.75">
      <c r="A265" t="s">
        <v>678</v>
      </c>
      <c r="D265" s="117"/>
      <c r="E265" s="81">
        <v>1500</v>
      </c>
      <c r="F265" s="121"/>
      <c r="G265" s="121"/>
    </row>
    <row r="266" spans="1:7" ht="12.75">
      <c r="A266" t="s">
        <v>679</v>
      </c>
      <c r="D266" s="117"/>
      <c r="E266" s="98">
        <v>100</v>
      </c>
      <c r="F266" s="121"/>
      <c r="G266" s="121"/>
    </row>
    <row r="267" spans="1:7" ht="12.75">
      <c r="A267" s="4" t="s">
        <v>663</v>
      </c>
      <c r="D267" s="117"/>
      <c r="E267" s="13"/>
      <c r="F267" s="121"/>
      <c r="G267" s="121"/>
    </row>
    <row r="268" spans="1:5" ht="12.75">
      <c r="A268" t="s">
        <v>519</v>
      </c>
      <c r="E268" s="182">
        <f>E21</f>
        <v>2</v>
      </c>
    </row>
    <row r="269" spans="1:7" ht="12.75">
      <c r="A269" t="s">
        <v>680</v>
      </c>
      <c r="E269" s="27">
        <f>(E265*E21)-(E21*E266)</f>
        <v>2800</v>
      </c>
      <c r="F269" s="121"/>
      <c r="G269" s="121"/>
    </row>
    <row r="270" spans="1:7" ht="12.75">
      <c r="A270" t="s">
        <v>682</v>
      </c>
      <c r="E270" s="183">
        <f>(E$269/(E$264*30.4))*E$261</f>
        <v>2101.1513157894738</v>
      </c>
      <c r="F270" s="121"/>
      <c r="G270" s="121"/>
    </row>
    <row r="271" spans="1:7" ht="12.75">
      <c r="A271" t="s">
        <v>877</v>
      </c>
      <c r="E271" s="184">
        <f>E252</f>
        <v>499.57228400342177</v>
      </c>
      <c r="F271" s="121"/>
      <c r="G271" s="121"/>
    </row>
    <row r="272" spans="1:7" ht="12.75">
      <c r="A272" t="s">
        <v>879</v>
      </c>
      <c r="E272" s="154">
        <f>E270/E271</f>
        <v>4.205900493421052</v>
      </c>
      <c r="F272" s="121"/>
      <c r="G272" s="121"/>
    </row>
    <row r="273" spans="1:7" ht="12.75">
      <c r="A273" s="23"/>
      <c r="B273" s="23"/>
      <c r="C273" s="25"/>
      <c r="D273" s="25"/>
      <c r="E273" s="24"/>
      <c r="F273" s="129"/>
      <c r="G273" s="141"/>
    </row>
    <row r="274" spans="1:7" ht="15.75">
      <c r="A274" s="1" t="s">
        <v>683</v>
      </c>
      <c r="E274" s="61"/>
      <c r="F274" s="121"/>
      <c r="G274" s="121"/>
    </row>
    <row r="275" spans="1:7" ht="12.75">
      <c r="A275" s="23"/>
      <c r="B275" s="23"/>
      <c r="C275" s="25"/>
      <c r="D275" s="25"/>
      <c r="E275" s="24"/>
      <c r="F275" s="129"/>
      <c r="G275" s="141"/>
    </row>
    <row r="276" spans="1:7" ht="12.75">
      <c r="A276" t="s">
        <v>518</v>
      </c>
      <c r="E276" s="15">
        <f>(PRODUCTION!B$6)</f>
        <v>365</v>
      </c>
      <c r="F276" s="121"/>
      <c r="G276" s="121"/>
    </row>
    <row r="277" spans="1:7" ht="12.75">
      <c r="A277" s="124"/>
      <c r="B277" s="124"/>
      <c r="C277" s="117"/>
      <c r="D277" s="117"/>
      <c r="E277" s="130"/>
      <c r="F277" s="117"/>
      <c r="G277" s="116"/>
    </row>
    <row r="278" spans="1:7" ht="12.75">
      <c r="A278" s="4" t="s">
        <v>660</v>
      </c>
      <c r="E278" s="22" t="str">
        <f>E$228</f>
        <v>On-Farm</v>
      </c>
      <c r="F278" s="121"/>
      <c r="G278" s="121"/>
    </row>
    <row r="279" spans="1:7" ht="12.75">
      <c r="A279" t="s">
        <v>692</v>
      </c>
      <c r="C279" s="117"/>
      <c r="D279" s="117"/>
      <c r="E279" s="97">
        <v>0.5</v>
      </c>
      <c r="F279" s="121"/>
      <c r="G279" s="121"/>
    </row>
    <row r="280" spans="1:7" ht="12.75">
      <c r="A280" t="s">
        <v>684</v>
      </c>
      <c r="E280" s="81">
        <v>150</v>
      </c>
      <c r="F280" s="121"/>
      <c r="G280" s="121"/>
    </row>
    <row r="281" spans="1:7" ht="12.75">
      <c r="A281" t="s">
        <v>687</v>
      </c>
      <c r="C281" s="117"/>
      <c r="D281" s="117"/>
      <c r="E281" s="98">
        <v>70</v>
      </c>
      <c r="F281" s="121"/>
      <c r="G281" s="121"/>
    </row>
    <row r="282" spans="1:7" ht="12.75">
      <c r="A282" t="s">
        <v>685</v>
      </c>
      <c r="E282" s="71">
        <v>5</v>
      </c>
      <c r="F282" s="121"/>
      <c r="G282" s="121"/>
    </row>
    <row r="283" spans="1:7" ht="12.75">
      <c r="A283" t="s">
        <v>686</v>
      </c>
      <c r="C283" s="117"/>
      <c r="D283" s="117"/>
      <c r="E283" s="97">
        <v>0.05</v>
      </c>
      <c r="F283" s="121"/>
      <c r="G283" s="121"/>
    </row>
    <row r="284" spans="1:7" ht="12.75">
      <c r="A284" s="4" t="s">
        <v>654</v>
      </c>
      <c r="F284" s="121"/>
      <c r="G284" s="121"/>
    </row>
    <row r="285" spans="1:7" ht="12.75">
      <c r="A285" t="s">
        <v>520</v>
      </c>
      <c r="E285" s="120">
        <f>INT(PRODUCTION!B73)+1</f>
        <v>1</v>
      </c>
      <c r="F285" s="121"/>
      <c r="G285" s="121"/>
    </row>
    <row r="286" spans="1:7" ht="12.75">
      <c r="A286" t="s">
        <v>881</v>
      </c>
      <c r="E286" s="120">
        <f>(E285)*(E282*E276)</f>
        <v>1825</v>
      </c>
      <c r="F286" s="121"/>
      <c r="G286" s="121"/>
    </row>
    <row r="287" spans="1:7" ht="12.75">
      <c r="A287" t="s">
        <v>882</v>
      </c>
      <c r="E287" s="120">
        <f>E252</f>
        <v>499.57228400342177</v>
      </c>
      <c r="F287" s="121"/>
      <c r="G287" s="121"/>
    </row>
    <row r="288" spans="1:7" ht="12.75">
      <c r="A288" t="s">
        <v>694</v>
      </c>
      <c r="E288" s="121">
        <f>(E283*E286)</f>
        <v>91.25</v>
      </c>
      <c r="F288" s="121"/>
      <c r="G288" s="121"/>
    </row>
    <row r="289" spans="1:7" ht="12.75">
      <c r="A289" t="s">
        <v>695</v>
      </c>
      <c r="E289" s="121">
        <f>(E285*E279*E276)</f>
        <v>182.5</v>
      </c>
      <c r="F289" s="121"/>
      <c r="G289" s="121"/>
    </row>
    <row r="290" spans="1:7" ht="12.75">
      <c r="A290" t="s">
        <v>693</v>
      </c>
      <c r="E290" s="121">
        <f>(E280*E285)-(E285*E281)</f>
        <v>80</v>
      </c>
      <c r="F290" s="121"/>
      <c r="G290" s="121"/>
    </row>
    <row r="291" spans="1:5" ht="12.75">
      <c r="A291" t="s">
        <v>885</v>
      </c>
      <c r="E291" s="154">
        <f>(E288+E289+E290)/E287</f>
        <v>0.7081057363013697</v>
      </c>
    </row>
    <row r="292" spans="1:7" ht="12.75">
      <c r="A292" s="78"/>
      <c r="B292" s="78"/>
      <c r="C292" s="79"/>
      <c r="D292" s="79"/>
      <c r="E292" s="80"/>
      <c r="F292" s="129"/>
      <c r="G292" s="141"/>
    </row>
    <row r="293" spans="1:7" ht="15.75">
      <c r="A293" s="1" t="s">
        <v>426</v>
      </c>
      <c r="F293" s="121"/>
      <c r="G293" s="121"/>
    </row>
    <row r="294" spans="1:7" ht="12.75">
      <c r="A294" s="23"/>
      <c r="B294" s="23"/>
      <c r="C294" s="25"/>
      <c r="D294" s="25"/>
      <c r="E294" s="24"/>
      <c r="F294" s="129"/>
      <c r="G294" s="141"/>
    </row>
    <row r="295" spans="1:7" ht="12.75">
      <c r="A295" t="s">
        <v>518</v>
      </c>
      <c r="C295" s="117"/>
      <c r="D295" s="120">
        <f>E232</f>
        <v>365</v>
      </c>
      <c r="F295" s="121"/>
      <c r="G295" s="121"/>
    </row>
    <row r="296" spans="3:7" ht="12.75">
      <c r="C296" s="117"/>
      <c r="D296" s="117"/>
      <c r="E296" s="117"/>
      <c r="F296" s="121"/>
      <c r="G296" s="121"/>
    </row>
    <row r="297" spans="1:7" ht="12.75">
      <c r="A297" s="4" t="s">
        <v>696</v>
      </c>
      <c r="C297" s="117"/>
      <c r="D297" s="140" t="str">
        <f>E$238</f>
        <v>On-Farm</v>
      </c>
      <c r="E297" s="130"/>
      <c r="F297" s="116"/>
      <c r="G297" s="121"/>
    </row>
    <row r="298" spans="1:7" ht="12.75">
      <c r="A298" s="4" t="s">
        <v>697</v>
      </c>
      <c r="C298" s="117"/>
      <c r="D298" s="130"/>
      <c r="E298" s="117"/>
      <c r="F298" s="121"/>
      <c r="G298" s="121"/>
    </row>
    <row r="299" spans="1:7" ht="12.75">
      <c r="A299" t="s">
        <v>702</v>
      </c>
      <c r="D299" s="27">
        <f>(E21*E4*E10)</f>
        <v>60</v>
      </c>
      <c r="F299" s="121"/>
      <c r="G299" s="121"/>
    </row>
    <row r="300" spans="3:7" ht="12.75">
      <c r="C300" s="2" t="s">
        <v>726</v>
      </c>
      <c r="D300" s="28">
        <f>D299</f>
        <v>60</v>
      </c>
      <c r="F300" s="121"/>
      <c r="G300" s="121"/>
    </row>
    <row r="301" spans="1:7" ht="12.75">
      <c r="A301" s="4" t="s">
        <v>704</v>
      </c>
      <c r="F301" s="121"/>
      <c r="G301" s="121"/>
    </row>
    <row r="302" spans="1:7" ht="12.75">
      <c r="A302" t="s">
        <v>705</v>
      </c>
      <c r="D302" s="27">
        <f>E223</f>
        <v>203.40909971415695</v>
      </c>
      <c r="F302" s="121"/>
      <c r="G302" s="121"/>
    </row>
    <row r="303" spans="1:7" ht="12.75">
      <c r="A303" t="s">
        <v>706</v>
      </c>
      <c r="D303" s="27">
        <f>C135</f>
        <v>411.98333333333335</v>
      </c>
      <c r="F303" s="121"/>
      <c r="G303" s="121"/>
    </row>
    <row r="304" spans="1:7" ht="12.75">
      <c r="A304" t="s">
        <v>695</v>
      </c>
      <c r="D304" s="27">
        <f>E289</f>
        <v>182.5</v>
      </c>
      <c r="F304" s="121"/>
      <c r="G304" s="121"/>
    </row>
    <row r="305" spans="3:7" ht="12.75">
      <c r="C305" s="2" t="s">
        <v>726</v>
      </c>
      <c r="D305" s="28">
        <f>SUM(D302:D304)</f>
        <v>797.8924330474903</v>
      </c>
      <c r="E305" s="143"/>
      <c r="F305" s="121"/>
      <c r="G305" s="121"/>
    </row>
    <row r="306" spans="6:7" ht="12.75">
      <c r="F306" s="121"/>
      <c r="G306" s="121"/>
    </row>
    <row r="307" spans="1:7" ht="12.75">
      <c r="A307" t="s">
        <v>425</v>
      </c>
      <c r="C307" s="2"/>
      <c r="D307" s="177">
        <f>D300+D305</f>
        <v>857.8924330474903</v>
      </c>
      <c r="F307" s="121"/>
      <c r="G307" s="121"/>
    </row>
    <row r="308" spans="1:7" ht="12.75">
      <c r="A308" s="23"/>
      <c r="B308" s="23"/>
      <c r="C308" s="25"/>
      <c r="D308" s="25"/>
      <c r="E308" s="24"/>
      <c r="F308" s="129"/>
      <c r="G308" s="141"/>
    </row>
    <row r="309" spans="1:7" ht="15.75">
      <c r="A309" s="1" t="s">
        <v>427</v>
      </c>
      <c r="F309" s="121"/>
      <c r="G309" s="121"/>
    </row>
    <row r="310" spans="1:7" ht="12.75">
      <c r="A310" s="23"/>
      <c r="B310" s="23"/>
      <c r="C310" s="25"/>
      <c r="D310" s="25"/>
      <c r="E310" s="24"/>
      <c r="F310" s="129"/>
      <c r="G310" s="141"/>
    </row>
    <row r="311" spans="1:7" ht="12.75">
      <c r="A311" t="s">
        <v>518</v>
      </c>
      <c r="C311" s="117"/>
      <c r="D311" s="120">
        <f>E232</f>
        <v>365</v>
      </c>
      <c r="F311" s="121"/>
      <c r="G311" s="121"/>
    </row>
    <row r="312" spans="3:7" ht="12.75">
      <c r="C312" s="126"/>
      <c r="D312" s="132"/>
      <c r="E312" s="114" t="s">
        <v>736</v>
      </c>
      <c r="F312" s="121"/>
      <c r="G312" s="121"/>
    </row>
    <row r="313" spans="1:7" ht="12.75">
      <c r="A313" s="4" t="s">
        <v>696</v>
      </c>
      <c r="D313" s="22" t="str">
        <f>D297</f>
        <v>On-Farm</v>
      </c>
      <c r="E313" s="154" t="s">
        <v>737</v>
      </c>
      <c r="F313" s="121"/>
      <c r="G313" s="121"/>
    </row>
    <row r="314" spans="1:7" ht="12.75">
      <c r="A314" t="s">
        <v>762</v>
      </c>
      <c r="D314" s="27">
        <f>(E4*E5*E7)</f>
        <v>240</v>
      </c>
      <c r="E314" s="41">
        <f>D314/E7</f>
        <v>24</v>
      </c>
      <c r="F314" s="121"/>
      <c r="G314" s="121"/>
    </row>
    <row r="315" spans="1:7" ht="12.75">
      <c r="A315" t="s">
        <v>699</v>
      </c>
      <c r="D315" s="27">
        <f>(E6*E7*E21)</f>
        <v>175</v>
      </c>
      <c r="E315" s="41">
        <f>D315/E7</f>
        <v>17.5</v>
      </c>
      <c r="F315" s="121"/>
      <c r="G315" s="121"/>
    </row>
    <row r="316" spans="1:7" ht="12.75">
      <c r="A316" t="s">
        <v>674</v>
      </c>
      <c r="D316" s="27">
        <f>E254</f>
        <v>55.508031555935744</v>
      </c>
      <c r="E316" s="41">
        <f>D316/E243</f>
        <v>5.550803155593575</v>
      </c>
      <c r="F316" s="121"/>
      <c r="G316" s="121"/>
    </row>
    <row r="317" spans="1:7" ht="12.75">
      <c r="A317" t="s">
        <v>675</v>
      </c>
      <c r="D317" s="27">
        <f>E254</f>
        <v>55.508031555935744</v>
      </c>
      <c r="E317" s="41">
        <f>D317/E243</f>
        <v>5.550803155593575</v>
      </c>
      <c r="F317" s="121"/>
      <c r="G317" s="121"/>
    </row>
    <row r="318" spans="1:7" ht="12.75">
      <c r="A318" t="s">
        <v>676</v>
      </c>
      <c r="D318" s="27">
        <f>E256</f>
        <v>69.52380952380952</v>
      </c>
      <c r="E318" s="41">
        <f>D318/E243</f>
        <v>6.952380952380952</v>
      </c>
      <c r="F318" s="121"/>
      <c r="G318" s="121"/>
    </row>
    <row r="319" spans="1:7" ht="12.75">
      <c r="A319" t="s">
        <v>422</v>
      </c>
      <c r="D319" s="27">
        <f>E253</f>
        <v>243.33333333333331</v>
      </c>
      <c r="E319" s="185">
        <f>(D319/E7)</f>
        <v>24.333333333333332</v>
      </c>
      <c r="F319" s="121"/>
      <c r="G319" s="121"/>
    </row>
    <row r="320" spans="1:7" ht="12.75">
      <c r="A320" t="s">
        <v>404</v>
      </c>
      <c r="D320" s="27">
        <f>(E21*E4*E9*E8)</f>
        <v>39</v>
      </c>
      <c r="F320" s="121"/>
      <c r="G320" s="121"/>
    </row>
    <row r="321" spans="1:7" ht="12.75">
      <c r="A321" t="s">
        <v>405</v>
      </c>
      <c r="D321" s="27">
        <f>E11*E21</f>
        <v>240</v>
      </c>
      <c r="F321" s="121"/>
      <c r="G321" s="121"/>
    </row>
    <row r="322" spans="1:7" ht="12.75">
      <c r="A322" t="s">
        <v>423</v>
      </c>
      <c r="D322" s="27">
        <f>E234</f>
        <v>262.8</v>
      </c>
      <c r="F322" s="121"/>
      <c r="G322" s="121"/>
    </row>
    <row r="323" spans="1:4" ht="12.75">
      <c r="A323" t="s">
        <v>694</v>
      </c>
      <c r="D323" s="27">
        <f>E288</f>
        <v>91.25</v>
      </c>
    </row>
    <row r="324" spans="1:7" ht="12.75">
      <c r="A324" t="s">
        <v>708</v>
      </c>
      <c r="D324" s="27">
        <f>C136</f>
        <v>495.33277240574523</v>
      </c>
      <c r="F324" s="121"/>
      <c r="G324" s="121"/>
    </row>
    <row r="325" spans="1:7" ht="12.75">
      <c r="A325" t="s">
        <v>424</v>
      </c>
      <c r="C325" s="2"/>
      <c r="D325" s="28">
        <f>SUM(D314:D324)</f>
        <v>1967.2559783747597</v>
      </c>
      <c r="E325" s="143">
        <f>SUM(E314:E319)</f>
        <v>83.88732059690143</v>
      </c>
      <c r="F325" s="121"/>
      <c r="G325" s="121"/>
    </row>
    <row r="326" spans="1:7" ht="12.75">
      <c r="A326" s="23"/>
      <c r="B326" s="23"/>
      <c r="C326" s="25"/>
      <c r="D326" s="25"/>
      <c r="E326" s="24"/>
      <c r="F326" s="129"/>
      <c r="G326" s="141"/>
    </row>
    <row r="327" spans="1:7" ht="15.75">
      <c r="A327" s="1" t="s">
        <v>428</v>
      </c>
      <c r="C327" s="14"/>
      <c r="D327" s="14"/>
      <c r="E327" s="61"/>
      <c r="F327" s="121"/>
      <c r="G327" s="121"/>
    </row>
    <row r="328" spans="1:7" ht="12.75">
      <c r="A328" s="23"/>
      <c r="B328" s="23"/>
      <c r="C328" s="25"/>
      <c r="D328" s="25"/>
      <c r="E328" s="24"/>
      <c r="F328" s="129"/>
      <c r="G328" s="141"/>
    </row>
    <row r="329" spans="1:7" ht="12.75">
      <c r="A329" t="s">
        <v>518</v>
      </c>
      <c r="C329" s="117"/>
      <c r="D329" s="120">
        <f>E232</f>
        <v>365</v>
      </c>
      <c r="F329" s="121"/>
      <c r="G329" s="121"/>
    </row>
    <row r="330" spans="1:7" ht="12.75">
      <c r="A330" t="s">
        <v>368</v>
      </c>
      <c r="C330" s="117"/>
      <c r="D330" s="134">
        <f>D307</f>
        <v>857.8924330474903</v>
      </c>
      <c r="F330" s="121"/>
      <c r="G330" s="121"/>
    </row>
    <row r="331" spans="1:7" ht="12.75">
      <c r="A331" t="s">
        <v>369</v>
      </c>
      <c r="C331" s="117"/>
      <c r="D331" s="134">
        <f>D325</f>
        <v>1967.2559783747597</v>
      </c>
      <c r="E331"/>
      <c r="F331" s="121"/>
      <c r="G331" s="121"/>
    </row>
    <row r="332" spans="1:7" ht="12.75">
      <c r="A332" t="s">
        <v>370</v>
      </c>
      <c r="C332" s="117"/>
      <c r="D332" s="134">
        <f>E270</f>
        <v>2101.1513157894738</v>
      </c>
      <c r="E332"/>
      <c r="F332" s="121"/>
      <c r="G332" s="121"/>
    </row>
    <row r="333" spans="1:7" ht="12.75">
      <c r="A333" t="s">
        <v>371</v>
      </c>
      <c r="C333" s="117"/>
      <c r="D333" s="134">
        <f>E290</f>
        <v>80</v>
      </c>
      <c r="F333" s="121"/>
      <c r="G333" s="121"/>
    </row>
    <row r="334" spans="1:7" ht="12.75">
      <c r="A334" s="124" t="s">
        <v>367</v>
      </c>
      <c r="B334" s="124"/>
      <c r="C334" s="117"/>
      <c r="D334" s="186">
        <f>SUM(D330:D333)</f>
        <v>5006.299727211724</v>
      </c>
      <c r="E334" s="130"/>
      <c r="F334" s="117"/>
      <c r="G334" s="116"/>
    </row>
    <row r="335" spans="1:7" ht="12.75">
      <c r="A335" s="23"/>
      <c r="B335" s="23"/>
      <c r="C335" s="25"/>
      <c r="D335" s="25"/>
      <c r="E335" s="24"/>
      <c r="F335" s="129"/>
      <c r="G335" s="141"/>
    </row>
    <row r="336" spans="1:7" ht="15.75">
      <c r="A336" s="181" t="s">
        <v>768</v>
      </c>
      <c r="B336" s="118" t="str">
        <f>(PRODUCTION!B4)</f>
        <v>On-Farm</v>
      </c>
      <c r="C336" s="118" t="str">
        <f>(PRODUCTION!B5)</f>
        <v>Semen</v>
      </c>
      <c r="D336" s="117"/>
      <c r="E336" s="130"/>
      <c r="F336" s="117"/>
      <c r="G336" s="116"/>
    </row>
    <row r="337" spans="1:7" ht="12.75">
      <c r="A337" t="s">
        <v>518</v>
      </c>
      <c r="C337" s="117"/>
      <c r="D337" s="120">
        <f>E232</f>
        <v>365</v>
      </c>
      <c r="F337" s="121"/>
      <c r="G337" s="121"/>
    </row>
    <row r="338" spans="1:7" ht="12.75">
      <c r="A338" t="s">
        <v>861</v>
      </c>
      <c r="C338" s="117"/>
      <c r="D338" s="125">
        <f>E26</f>
        <v>10.428571428571429</v>
      </c>
      <c r="F338" s="121"/>
      <c r="G338" s="121"/>
    </row>
    <row r="339" spans="1:7" ht="12.75">
      <c r="A339" t="s">
        <v>862</v>
      </c>
      <c r="C339" s="117"/>
      <c r="D339" s="120">
        <f>E23</f>
        <v>23.952095808383234</v>
      </c>
      <c r="F339" s="121"/>
      <c r="G339" s="121"/>
    </row>
    <row r="340" spans="1:7" ht="12.75">
      <c r="A340" t="s">
        <v>523</v>
      </c>
      <c r="C340" s="117"/>
      <c r="D340" s="120">
        <f>E25</f>
        <v>47.90419161676647</v>
      </c>
      <c r="F340" s="121"/>
      <c r="G340" s="121"/>
    </row>
    <row r="341" spans="1:7" ht="12.75">
      <c r="A341" t="s">
        <v>709</v>
      </c>
      <c r="D341" s="120">
        <f>E30</f>
        <v>499.57228400342177</v>
      </c>
      <c r="E341" s="130"/>
      <c r="F341" s="117"/>
      <c r="G341" s="116"/>
    </row>
    <row r="342" spans="1:7" ht="12.75">
      <c r="A342" t="s">
        <v>710</v>
      </c>
      <c r="D342" s="120">
        <f>(PRODUCTION!B120)</f>
        <v>249.78614200171089</v>
      </c>
      <c r="E342" s="130"/>
      <c r="F342" s="117"/>
      <c r="G342" s="116"/>
    </row>
    <row r="343" spans="1:7" ht="12.75">
      <c r="A343" t="s">
        <v>529</v>
      </c>
      <c r="D343" s="120">
        <f>E31</f>
        <v>208.57142857142858</v>
      </c>
      <c r="E343" s="130"/>
      <c r="F343" s="117"/>
      <c r="G343" s="116"/>
    </row>
    <row r="344" spans="1:7" ht="12.75">
      <c r="A344" t="s">
        <v>711</v>
      </c>
      <c r="D344" s="120">
        <f>(PRODUCTION!B134)</f>
        <v>1981.512</v>
      </c>
      <c r="E344" s="130"/>
      <c r="F344" s="117"/>
      <c r="G344" s="116"/>
    </row>
    <row r="345" spans="1:7" ht="12.75">
      <c r="A345" t="s">
        <v>467</v>
      </c>
      <c r="D345" s="120">
        <f>(PRODUCTION!B135)</f>
        <v>1931</v>
      </c>
      <c r="E345" s="130"/>
      <c r="F345" s="117"/>
      <c r="G345" s="116"/>
    </row>
    <row r="346" spans="1:7" ht="12.75">
      <c r="A346" s="23"/>
      <c r="B346" s="48"/>
      <c r="C346" s="49"/>
      <c r="D346" s="25"/>
      <c r="E346" s="24"/>
      <c r="F346" s="129"/>
      <c r="G346" s="141"/>
    </row>
    <row r="347" spans="1:7" ht="15.75">
      <c r="A347" s="188" t="s">
        <v>886</v>
      </c>
      <c r="D347" s="120"/>
      <c r="E347" s="130"/>
      <c r="F347" s="117"/>
      <c r="G347" s="116"/>
    </row>
    <row r="348" spans="1:7" ht="12.75">
      <c r="A348" t="s">
        <v>518</v>
      </c>
      <c r="C348" s="117"/>
      <c r="D348" s="120">
        <f>E232</f>
        <v>365</v>
      </c>
      <c r="F348" s="121"/>
      <c r="G348" s="121"/>
    </row>
    <row r="349" spans="3:7" ht="12.75">
      <c r="C349" s="117"/>
      <c r="D349" s="120"/>
      <c r="F349" s="121"/>
      <c r="G349" s="121"/>
    </row>
    <row r="350" spans="1:7" ht="12.75">
      <c r="A350" s="115" t="s">
        <v>696</v>
      </c>
      <c r="C350" s="117"/>
      <c r="D350" s="189" t="str">
        <f>B336</f>
        <v>On-Farm</v>
      </c>
      <c r="F350" s="121"/>
      <c r="G350" s="121"/>
    </row>
    <row r="351" spans="1:7" ht="12.75">
      <c r="A351" t="s">
        <v>410</v>
      </c>
      <c r="D351" s="170">
        <f>D307/D341</f>
        <v>1.717253859987185</v>
      </c>
      <c r="E351" s="130"/>
      <c r="F351" s="117"/>
      <c r="G351" s="116"/>
    </row>
    <row r="352" spans="1:7" ht="12.75">
      <c r="A352" t="s">
        <v>411</v>
      </c>
      <c r="D352" s="170">
        <f>D325/D341</f>
        <v>3.9378805457535853</v>
      </c>
      <c r="E352" s="130"/>
      <c r="F352" s="117"/>
      <c r="G352" s="116"/>
    </row>
    <row r="353" spans="1:7" ht="12.75">
      <c r="A353" t="s">
        <v>879</v>
      </c>
      <c r="D353" s="170">
        <f>E272</f>
        <v>4.205900493421052</v>
      </c>
      <c r="E353" s="130"/>
      <c r="F353" s="117"/>
      <c r="G353" s="116"/>
    </row>
    <row r="354" spans="1:7" ht="12.75">
      <c r="A354" t="s">
        <v>885</v>
      </c>
      <c r="D354" s="170">
        <f>E291</f>
        <v>0.7081057363013697</v>
      </c>
      <c r="E354" s="130"/>
      <c r="F354" s="117"/>
      <c r="G354" s="116"/>
    </row>
    <row r="355" spans="1:7" ht="12.75">
      <c r="A355" t="s">
        <v>361</v>
      </c>
      <c r="D355" s="190">
        <f>SUM(D351:D354)</f>
        <v>10.569140635463192</v>
      </c>
      <c r="E355" s="130"/>
      <c r="F355" s="117"/>
      <c r="G355" s="116"/>
    </row>
    <row r="356" spans="1:7" ht="12.75">
      <c r="A356" s="23"/>
      <c r="B356" s="48"/>
      <c r="C356" s="49"/>
      <c r="D356" s="25"/>
      <c r="E356" s="24"/>
      <c r="F356" s="129"/>
      <c r="G356" s="141"/>
    </row>
    <row r="357" spans="1:7" ht="15.75">
      <c r="A357" s="181" t="s">
        <v>429</v>
      </c>
      <c r="B357" s="126"/>
      <c r="C357" s="132"/>
      <c r="D357" s="117"/>
      <c r="E357" s="130"/>
      <c r="F357" s="117"/>
      <c r="G357" s="116"/>
    </row>
    <row r="358" spans="1:7" ht="12.75">
      <c r="A358" t="s">
        <v>518</v>
      </c>
      <c r="C358" s="117"/>
      <c r="D358" s="120">
        <f>E232</f>
        <v>365</v>
      </c>
      <c r="F358" s="121"/>
      <c r="G358" s="121"/>
    </row>
    <row r="359" spans="1:7" ht="12.75">
      <c r="A359" s="124"/>
      <c r="B359" s="126"/>
      <c r="C359" s="132"/>
      <c r="D359" s="117"/>
      <c r="E359" s="130"/>
      <c r="F359" s="117"/>
      <c r="G359" s="116"/>
    </row>
    <row r="360" spans="1:7" ht="12.75">
      <c r="A360" s="187" t="s">
        <v>430</v>
      </c>
      <c r="B360" s="126"/>
      <c r="C360" s="132"/>
      <c r="D360" s="189" t="str">
        <f>D350</f>
        <v>On-Farm</v>
      </c>
      <c r="E360" s="130"/>
      <c r="F360" s="117"/>
      <c r="G360" s="116"/>
    </row>
    <row r="361" spans="1:7" ht="12.75">
      <c r="A361" s="124" t="s">
        <v>887</v>
      </c>
      <c r="B361" s="126"/>
      <c r="C361" s="132"/>
      <c r="D361" s="120">
        <f>D342</f>
        <v>249.78614200171089</v>
      </c>
      <c r="E361" s="130"/>
      <c r="F361" s="117"/>
      <c r="G361" s="116"/>
    </row>
    <row r="362" spans="1:7" ht="12.75">
      <c r="A362" s="124" t="s">
        <v>711</v>
      </c>
      <c r="B362" s="126"/>
      <c r="C362" s="132"/>
      <c r="D362" s="120">
        <f>D344</f>
        <v>1981.512</v>
      </c>
      <c r="E362" s="130"/>
      <c r="F362" s="117"/>
      <c r="G362" s="116"/>
    </row>
    <row r="363" spans="1:7" ht="12.75">
      <c r="A363" s="124" t="s">
        <v>467</v>
      </c>
      <c r="B363" s="126"/>
      <c r="C363" s="132"/>
      <c r="D363" s="120">
        <f>D345</f>
        <v>1931</v>
      </c>
      <c r="E363" s="130"/>
      <c r="F363" s="117"/>
      <c r="G363" s="116"/>
    </row>
    <row r="364" spans="1:7" ht="12.75">
      <c r="A364" s="124" t="s">
        <v>431</v>
      </c>
      <c r="B364" s="126"/>
      <c r="C364" s="132"/>
      <c r="D364" s="120">
        <f>D341</f>
        <v>499.57228400342177</v>
      </c>
      <c r="E364" s="130"/>
      <c r="F364" s="117"/>
      <c r="G364" s="116"/>
    </row>
    <row r="365" spans="1:7" ht="12.75">
      <c r="A365" s="124" t="s">
        <v>889</v>
      </c>
      <c r="B365" s="126"/>
      <c r="C365" s="132"/>
      <c r="D365" s="134">
        <f>D355*D364</f>
        <v>5280.049727211724</v>
      </c>
      <c r="E365" s="130"/>
      <c r="F365" s="117"/>
      <c r="G365" s="116"/>
    </row>
    <row r="366" spans="1:7" ht="12.75">
      <c r="A366" t="s">
        <v>714</v>
      </c>
      <c r="D366" s="179">
        <f>D365/D361</f>
        <v>21.138281270926385</v>
      </c>
      <c r="E366" s="130"/>
      <c r="F366" s="117"/>
      <c r="G366" s="116"/>
    </row>
    <row r="367" spans="1:7" ht="12.75">
      <c r="A367" t="s">
        <v>715</v>
      </c>
      <c r="D367" s="179">
        <f>D365/D362</f>
        <v>2.6646569524745365</v>
      </c>
      <c r="E367" s="130"/>
      <c r="F367" s="117"/>
      <c r="G367" s="116"/>
    </row>
    <row r="368" spans="1:7" ht="12.75">
      <c r="A368" t="s">
        <v>891</v>
      </c>
      <c r="D368" s="179">
        <f>D365/D363</f>
        <v>2.734360293739888</v>
      </c>
      <c r="E368" s="130"/>
      <c r="F368" s="117"/>
      <c r="G368" s="116"/>
    </row>
    <row r="369" spans="1:7" ht="12.75">
      <c r="A369" s="23"/>
      <c r="B369" s="48"/>
      <c r="C369" s="49"/>
      <c r="D369" s="25"/>
      <c r="E369" s="24"/>
      <c r="F369" s="129"/>
      <c r="G369" s="141"/>
    </row>
    <row r="370" spans="1:7" ht="15.75">
      <c r="A370" s="181" t="s">
        <v>418</v>
      </c>
      <c r="B370" s="126"/>
      <c r="C370" s="132"/>
      <c r="D370" s="117"/>
      <c r="E370" s="130"/>
      <c r="F370" s="117"/>
      <c r="G370" s="116"/>
    </row>
    <row r="371" spans="1:7" ht="12.75">
      <c r="A371" t="s">
        <v>712</v>
      </c>
      <c r="D371" s="121">
        <f>(D345*E14*E15)</f>
        <v>135170</v>
      </c>
      <c r="E371" s="130"/>
      <c r="F371" s="117"/>
      <c r="G371" s="116"/>
    </row>
    <row r="372" spans="1:7" ht="12.75">
      <c r="A372" t="s">
        <v>713</v>
      </c>
      <c r="D372" s="121">
        <f>D371-D365</f>
        <v>129889.95027278828</v>
      </c>
      <c r="E372" s="130"/>
      <c r="F372" s="117"/>
      <c r="G372" s="116"/>
    </row>
    <row r="373" spans="1:7" ht="12.75">
      <c r="A373" s="23"/>
      <c r="B373" s="48"/>
      <c r="C373" s="49"/>
      <c r="D373" s="25"/>
      <c r="E373" s="24"/>
      <c r="F373" s="129"/>
      <c r="G373" s="141"/>
    </row>
    <row r="374" spans="1:7" ht="12.75">
      <c r="A374" t="s">
        <v>449</v>
      </c>
      <c r="C374" s="14"/>
      <c r="D374" s="14"/>
      <c r="E374" s="18"/>
      <c r="F374" s="117"/>
      <c r="G374" s="116"/>
    </row>
    <row r="375" spans="3:7" ht="12.75">
      <c r="C375" s="19"/>
      <c r="F375" s="117"/>
      <c r="G375" s="116"/>
    </row>
    <row r="376" spans="3:7" ht="12.75">
      <c r="C376" s="18"/>
      <c r="D376" s="14"/>
      <c r="E376" s="18"/>
      <c r="F376" s="117"/>
      <c r="G376" s="116"/>
    </row>
    <row r="377" spans="3:6" ht="12.75">
      <c r="C377" s="18"/>
      <c r="D377" s="14"/>
      <c r="E377" s="18"/>
      <c r="F377" s="14"/>
    </row>
    <row r="378" ht="12.75">
      <c r="F378" s="14"/>
    </row>
    <row r="379" spans="3:6" ht="12.75">
      <c r="C379" s="14"/>
      <c r="D379" s="35"/>
      <c r="E379" s="18"/>
      <c r="F379" s="14"/>
    </row>
    <row r="380" spans="3:6" ht="12.75">
      <c r="C380" s="14"/>
      <c r="D380" s="35"/>
      <c r="E380" s="18"/>
      <c r="F380" s="14"/>
    </row>
    <row r="381" ht="12.75">
      <c r="F381" s="14"/>
    </row>
    <row r="382" ht="12.75">
      <c r="F382" s="14"/>
    </row>
    <row r="383" ht="12.75">
      <c r="F383" s="13"/>
    </row>
    <row r="384" spans="4:6" ht="12.75">
      <c r="D384" s="14"/>
      <c r="F384" s="13"/>
    </row>
    <row r="385" ht="12.75">
      <c r="F385" s="13"/>
    </row>
    <row r="386" ht="12.75">
      <c r="F386" s="13"/>
    </row>
    <row r="387" ht="12.75">
      <c r="F387" s="13"/>
    </row>
    <row r="388" ht="12.75">
      <c r="F388" s="13"/>
    </row>
    <row r="389" ht="12.75">
      <c r="F389" s="13"/>
    </row>
    <row r="390" ht="12.75">
      <c r="F390" s="13"/>
    </row>
    <row r="391" ht="12.75">
      <c r="F391" s="13"/>
    </row>
    <row r="392" ht="12.75">
      <c r="F392" s="13"/>
    </row>
    <row r="393" ht="12.75">
      <c r="F393" s="13"/>
    </row>
    <row r="394" ht="12.75">
      <c r="F394" s="13"/>
    </row>
    <row r="395" ht="12.75">
      <c r="F395" s="13"/>
    </row>
    <row r="396" ht="12.75">
      <c r="F396" s="13"/>
    </row>
    <row r="397" ht="12.75">
      <c r="F397" s="13"/>
    </row>
    <row r="398" ht="12.75">
      <c r="F398" s="13"/>
    </row>
    <row r="399" ht="12.75">
      <c r="F399" s="13"/>
    </row>
    <row r="400" ht="12.75">
      <c r="F400" s="13"/>
    </row>
    <row r="401" ht="12.75">
      <c r="F401" s="13"/>
    </row>
    <row r="402" ht="12.75">
      <c r="F402" s="13"/>
    </row>
    <row r="403" ht="12.75">
      <c r="F403" s="13"/>
    </row>
    <row r="404" ht="12.75">
      <c r="F404" s="13"/>
    </row>
    <row r="405" ht="12.75">
      <c r="F405" s="13"/>
    </row>
    <row r="406" ht="12.75">
      <c r="F406" s="13"/>
    </row>
    <row r="407" ht="12.75">
      <c r="F407" s="13"/>
    </row>
    <row r="408" ht="12.75">
      <c r="F408" s="13"/>
    </row>
    <row r="409" ht="12.75">
      <c r="F409" s="13"/>
    </row>
    <row r="410" ht="12.75">
      <c r="F410" s="13"/>
    </row>
    <row r="411" ht="12.75">
      <c r="F411" s="13"/>
    </row>
    <row r="412" ht="12.75">
      <c r="F412" s="13"/>
    </row>
    <row r="413" ht="12.75">
      <c r="F413" s="13"/>
    </row>
    <row r="414" ht="12.75">
      <c r="F414" s="13"/>
    </row>
    <row r="415" ht="12.75">
      <c r="F415" s="13"/>
    </row>
    <row r="416" ht="12.75">
      <c r="F416" s="13"/>
    </row>
    <row r="417" ht="12.75">
      <c r="F417" s="13"/>
    </row>
    <row r="418" ht="12.75">
      <c r="F418" s="13"/>
    </row>
    <row r="419" ht="12.75">
      <c r="F419" s="13"/>
    </row>
    <row r="420" ht="12.75">
      <c r="F420" s="13"/>
    </row>
    <row r="421" ht="12.75">
      <c r="F421" s="13"/>
    </row>
    <row r="422" ht="12.75">
      <c r="F422" s="13"/>
    </row>
    <row r="423" ht="12.75">
      <c r="F423" s="13"/>
    </row>
    <row r="424" ht="12.75">
      <c r="F424" s="13"/>
    </row>
    <row r="425" ht="12.75">
      <c r="F425" s="13"/>
    </row>
    <row r="426" ht="12.75">
      <c r="F426" s="13"/>
    </row>
    <row r="427" ht="12.75">
      <c r="F427" s="13"/>
    </row>
    <row r="428" ht="12.75">
      <c r="F428" s="13"/>
    </row>
    <row r="429" ht="12.75">
      <c r="F429" s="13"/>
    </row>
    <row r="430" ht="12.75">
      <c r="F430" s="13"/>
    </row>
    <row r="431" ht="12.75">
      <c r="F431" s="13"/>
    </row>
    <row r="432" ht="12.75">
      <c r="F432" s="13"/>
    </row>
    <row r="433" ht="12.75">
      <c r="F433" s="13"/>
    </row>
    <row r="434" ht="12.75">
      <c r="F434" s="13"/>
    </row>
    <row r="435" ht="12.75">
      <c r="F435" s="13"/>
    </row>
    <row r="436" ht="12.75">
      <c r="F436" s="13"/>
    </row>
    <row r="437" ht="12.75">
      <c r="F437" s="13"/>
    </row>
    <row r="438" ht="12.75">
      <c r="F438" s="13"/>
    </row>
    <row r="439" ht="12.75">
      <c r="F439" s="13"/>
    </row>
    <row r="440" ht="12.75">
      <c r="F440" s="13"/>
    </row>
    <row r="441" ht="12.75">
      <c r="F441" s="13"/>
    </row>
    <row r="442" ht="12.75">
      <c r="F442" s="13"/>
    </row>
    <row r="443" ht="12.75">
      <c r="F443" s="13"/>
    </row>
    <row r="444" ht="12.75">
      <c r="F444" s="13"/>
    </row>
    <row r="445" ht="12.75">
      <c r="F445" s="13"/>
    </row>
    <row r="446" ht="12.75">
      <c r="F446" s="13"/>
    </row>
    <row r="447" ht="12.75">
      <c r="F447" s="13"/>
    </row>
    <row r="448" ht="12.75">
      <c r="F448" s="13"/>
    </row>
    <row r="449" ht="12.75">
      <c r="F449" s="13"/>
    </row>
    <row r="450" ht="12.75">
      <c r="F450" s="13"/>
    </row>
    <row r="451" ht="12.75">
      <c r="F451" s="13"/>
    </row>
    <row r="452" ht="12.75">
      <c r="F452" s="13"/>
    </row>
    <row r="453" ht="12.75">
      <c r="F453" s="13"/>
    </row>
    <row r="454" ht="12.75">
      <c r="F454" s="13"/>
    </row>
    <row r="455" ht="12.75">
      <c r="F455" s="13"/>
    </row>
    <row r="456" ht="12.75">
      <c r="F456" s="13"/>
    </row>
    <row r="457" ht="12.75">
      <c r="F457" s="13"/>
    </row>
    <row r="458" ht="12.75">
      <c r="F458" s="13"/>
    </row>
    <row r="459" ht="12.75">
      <c r="F459" s="13"/>
    </row>
    <row r="460" ht="12.75">
      <c r="F460" s="13"/>
    </row>
    <row r="461" ht="12.75">
      <c r="F461" s="13"/>
    </row>
    <row r="462" ht="12.75">
      <c r="F462" s="13"/>
    </row>
    <row r="463" ht="12.75">
      <c r="F463" s="13"/>
    </row>
    <row r="464" ht="12.75">
      <c r="F464" s="13"/>
    </row>
    <row r="465" ht="12.75">
      <c r="F465" s="13"/>
    </row>
    <row r="466" ht="12.75">
      <c r="F466" s="13"/>
    </row>
    <row r="467" ht="12.75">
      <c r="F467" s="13"/>
    </row>
    <row r="468" ht="12.75">
      <c r="F468" s="13"/>
    </row>
    <row r="469" ht="12.75">
      <c r="F469" s="13"/>
    </row>
    <row r="470" ht="12.75">
      <c r="F470" s="13"/>
    </row>
    <row r="471" ht="12.75">
      <c r="F471" s="13"/>
    </row>
    <row r="472" ht="12.75">
      <c r="F472" s="13"/>
    </row>
    <row r="473" ht="12.75">
      <c r="F473" s="13"/>
    </row>
    <row r="474" ht="12.75">
      <c r="F474" s="13"/>
    </row>
    <row r="475" ht="12.75">
      <c r="F475" s="13"/>
    </row>
    <row r="476" ht="12.75">
      <c r="F476" s="13"/>
    </row>
    <row r="477" ht="12.75">
      <c r="F477" s="13"/>
    </row>
    <row r="478" ht="12.75">
      <c r="F478" s="13"/>
    </row>
    <row r="479" ht="12.75">
      <c r="F479" s="13"/>
    </row>
    <row r="480" ht="12.75">
      <c r="F480" s="13"/>
    </row>
    <row r="481" ht="12.75">
      <c r="F481" s="13"/>
    </row>
    <row r="482" ht="12.75">
      <c r="F482" s="13"/>
    </row>
    <row r="483" ht="12.75">
      <c r="F483" s="13"/>
    </row>
    <row r="484" ht="12.75">
      <c r="F484" s="13"/>
    </row>
    <row r="485" ht="12.75">
      <c r="F485" s="13"/>
    </row>
    <row r="486" ht="12.75">
      <c r="F486" s="13"/>
    </row>
    <row r="487" ht="12.75">
      <c r="F487" s="13"/>
    </row>
    <row r="488" ht="12.75">
      <c r="F488" s="13"/>
    </row>
    <row r="489" ht="12.75">
      <c r="F489" s="13"/>
    </row>
    <row r="490" ht="12.75">
      <c r="F490" s="13"/>
    </row>
    <row r="491" ht="12.75">
      <c r="F491" s="13"/>
    </row>
    <row r="492" ht="12.75">
      <c r="F492" s="13"/>
    </row>
    <row r="493" ht="12.75">
      <c r="F493" s="13"/>
    </row>
    <row r="494" ht="12.75">
      <c r="F494" s="13"/>
    </row>
    <row r="495" ht="12.75">
      <c r="F495" s="13"/>
    </row>
    <row r="496" ht="12.75">
      <c r="F496" s="13"/>
    </row>
    <row r="497" ht="12.75">
      <c r="F497" s="13"/>
    </row>
    <row r="498" ht="12.75">
      <c r="F498" s="13"/>
    </row>
    <row r="499" ht="12.75">
      <c r="F499" s="13"/>
    </row>
    <row r="500" ht="12.75">
      <c r="F500" s="13"/>
    </row>
    <row r="501" ht="12.75">
      <c r="F501" s="13"/>
    </row>
    <row r="502" ht="12.75">
      <c r="F502" s="13"/>
    </row>
    <row r="503" ht="12.75">
      <c r="F503" s="13"/>
    </row>
    <row r="504" ht="12.75">
      <c r="F504" s="13"/>
    </row>
    <row r="505" ht="12.75">
      <c r="F505" s="13"/>
    </row>
    <row r="506" ht="12.75">
      <c r="F506" s="13"/>
    </row>
    <row r="507" ht="12.75">
      <c r="F507" s="13"/>
    </row>
    <row r="508" ht="12.75">
      <c r="F508" s="13"/>
    </row>
    <row r="509" ht="12.75">
      <c r="F509" s="13"/>
    </row>
    <row r="510" ht="12.75">
      <c r="F510" s="13"/>
    </row>
    <row r="511" ht="12.75">
      <c r="F511" s="13"/>
    </row>
    <row r="512" ht="12.75">
      <c r="F512" s="13"/>
    </row>
    <row r="513" ht="12.75">
      <c r="F513" s="13"/>
    </row>
    <row r="514" ht="12.75">
      <c r="F514" s="13"/>
    </row>
    <row r="515" ht="12.75">
      <c r="F515" s="13"/>
    </row>
    <row r="516" ht="12.75">
      <c r="F516" s="13"/>
    </row>
    <row r="517" ht="12.75">
      <c r="F517" s="13"/>
    </row>
    <row r="518" ht="12.75">
      <c r="F518" s="13"/>
    </row>
    <row r="519" ht="12.75">
      <c r="F519" s="13"/>
    </row>
    <row r="520" ht="12.75">
      <c r="F520" s="13"/>
    </row>
    <row r="521" ht="12.75">
      <c r="F521" s="13"/>
    </row>
    <row r="522" ht="12.75">
      <c r="F522" s="13"/>
    </row>
    <row r="523" ht="12.75">
      <c r="F523" s="13"/>
    </row>
    <row r="524" ht="12.75">
      <c r="F524" s="13"/>
    </row>
    <row r="525" ht="12.75">
      <c r="F525" s="13"/>
    </row>
    <row r="526" ht="12.75">
      <c r="F526" s="13"/>
    </row>
    <row r="527" ht="12.75">
      <c r="F527" s="13"/>
    </row>
    <row r="528" ht="12.75">
      <c r="F528" s="13"/>
    </row>
    <row r="529" ht="12.75">
      <c r="F529" s="13"/>
    </row>
    <row r="530" ht="12.75">
      <c r="F530" s="13"/>
    </row>
    <row r="531" ht="12.75">
      <c r="F531" s="13"/>
    </row>
    <row r="532" ht="12.75">
      <c r="F532" s="13"/>
    </row>
    <row r="533" ht="12.75">
      <c r="F533" s="13"/>
    </row>
    <row r="534" ht="12.75">
      <c r="F534" s="13"/>
    </row>
    <row r="535" ht="12.75">
      <c r="F535" s="13"/>
    </row>
    <row r="536" ht="12.75">
      <c r="F536" s="13"/>
    </row>
    <row r="537" ht="12.75">
      <c r="F537" s="13"/>
    </row>
    <row r="538" ht="12.75">
      <c r="F538" s="13"/>
    </row>
    <row r="539" ht="12.75">
      <c r="F539" s="13"/>
    </row>
    <row r="540" ht="12.75">
      <c r="F540" s="13"/>
    </row>
    <row r="541" ht="12.75">
      <c r="F541" s="13"/>
    </row>
    <row r="542" ht="12.75">
      <c r="F542" s="13"/>
    </row>
    <row r="543" ht="12.75">
      <c r="F543" s="13"/>
    </row>
    <row r="544" ht="12.75">
      <c r="F544" s="13"/>
    </row>
    <row r="545" ht="12.75">
      <c r="F545" s="13"/>
    </row>
    <row r="546" ht="12.75">
      <c r="F546" s="13"/>
    </row>
    <row r="547" ht="12.75">
      <c r="F547" s="13"/>
    </row>
    <row r="548" ht="12.75">
      <c r="F548" s="13"/>
    </row>
    <row r="549" ht="12.75">
      <c r="F549" s="13"/>
    </row>
    <row r="550" ht="12.75">
      <c r="F550" s="13"/>
    </row>
    <row r="551" ht="12.75">
      <c r="F551" s="13"/>
    </row>
    <row r="552" ht="12.75">
      <c r="F552" s="13"/>
    </row>
    <row r="553" ht="12.75">
      <c r="F553" s="13"/>
    </row>
    <row r="554" ht="12.75">
      <c r="F554" s="13"/>
    </row>
    <row r="555" ht="12.75">
      <c r="F555" s="13"/>
    </row>
    <row r="556" ht="12.75">
      <c r="F556" s="13"/>
    </row>
    <row r="557" ht="12.75">
      <c r="F557" s="13"/>
    </row>
    <row r="558" ht="12.75">
      <c r="F558" s="13"/>
    </row>
    <row r="559" ht="12.75">
      <c r="F559" s="13"/>
    </row>
    <row r="560" ht="12.75">
      <c r="F560" s="13"/>
    </row>
    <row r="561" ht="12.75">
      <c r="F561" s="13"/>
    </row>
    <row r="562" ht="12.75">
      <c r="F562" s="13"/>
    </row>
    <row r="563" ht="12.75">
      <c r="F563" s="13"/>
    </row>
    <row r="564" ht="12.75">
      <c r="F564" s="13"/>
    </row>
    <row r="565" ht="12.75">
      <c r="F565" s="13"/>
    </row>
    <row r="566" ht="12.75">
      <c r="F566" s="13"/>
    </row>
    <row r="567" ht="12.75">
      <c r="F567" s="13"/>
    </row>
    <row r="568" ht="12.75">
      <c r="F568" s="13"/>
    </row>
    <row r="569" ht="12.75">
      <c r="F569" s="13"/>
    </row>
    <row r="570" ht="12.75">
      <c r="F570" s="13"/>
    </row>
    <row r="571" ht="12.75">
      <c r="F571" s="13"/>
    </row>
    <row r="572" ht="12.75">
      <c r="F572" s="13"/>
    </row>
    <row r="573" ht="12.75">
      <c r="F573" s="13"/>
    </row>
    <row r="574" ht="12.75">
      <c r="F574" s="13"/>
    </row>
    <row r="575" ht="12.75">
      <c r="F575" s="13"/>
    </row>
    <row r="576" ht="12.75">
      <c r="F576" s="13"/>
    </row>
    <row r="577" ht="12.75">
      <c r="F577" s="13"/>
    </row>
    <row r="578" ht="12.75">
      <c r="F578" s="13"/>
    </row>
    <row r="579" ht="12.75">
      <c r="F579" s="13"/>
    </row>
    <row r="580" ht="12.75">
      <c r="F580" s="13"/>
    </row>
    <row r="581" ht="12.75">
      <c r="F581" s="13"/>
    </row>
    <row r="582" ht="12.75">
      <c r="F582" s="13"/>
    </row>
    <row r="583" ht="12.75">
      <c r="F583" s="13"/>
    </row>
    <row r="584" ht="12.75">
      <c r="F584" s="13"/>
    </row>
    <row r="585" ht="12.75">
      <c r="F585" s="13"/>
    </row>
    <row r="586" ht="12.75">
      <c r="F586" s="13"/>
    </row>
    <row r="587" ht="12.75">
      <c r="F587" s="13"/>
    </row>
    <row r="588" ht="12.75">
      <c r="F588" s="13"/>
    </row>
    <row r="589" ht="12.75">
      <c r="F589" s="13"/>
    </row>
    <row r="590" ht="12.75">
      <c r="F590" s="13"/>
    </row>
    <row r="591" ht="12.75">
      <c r="F591" s="13"/>
    </row>
    <row r="592" ht="12.75">
      <c r="F592" s="13"/>
    </row>
    <row r="593" ht="12.75">
      <c r="F593" s="13"/>
    </row>
    <row r="594" ht="12.75">
      <c r="F594" s="13"/>
    </row>
    <row r="595" ht="12.75">
      <c r="F595" s="13"/>
    </row>
    <row r="596" ht="12.75">
      <c r="F596" s="13"/>
    </row>
    <row r="597" ht="12.75">
      <c r="F597" s="13"/>
    </row>
    <row r="598" ht="12.75">
      <c r="F598" s="13"/>
    </row>
    <row r="599" ht="12.75">
      <c r="F599" s="13"/>
    </row>
    <row r="600" ht="12.75">
      <c r="F600" s="13"/>
    </row>
    <row r="601" ht="12.75">
      <c r="F601" s="13"/>
    </row>
    <row r="602" ht="12.75">
      <c r="F602" s="13"/>
    </row>
    <row r="603" ht="12.75">
      <c r="F603" s="13"/>
    </row>
    <row r="604" ht="12.75">
      <c r="F604" s="13"/>
    </row>
    <row r="605" ht="12.75">
      <c r="F605" s="13"/>
    </row>
    <row r="606" ht="12.75">
      <c r="F606" s="13"/>
    </row>
    <row r="607" ht="12.75">
      <c r="F607" s="13"/>
    </row>
    <row r="608" ht="12.75">
      <c r="F608" s="13"/>
    </row>
    <row r="609" ht="12.75">
      <c r="F609" s="13"/>
    </row>
    <row r="610" ht="12.75">
      <c r="F610" s="13"/>
    </row>
    <row r="611" ht="12.75">
      <c r="F611" s="13"/>
    </row>
    <row r="612" ht="12.75">
      <c r="F612" s="13"/>
    </row>
    <row r="613" ht="12.75">
      <c r="F613" s="13"/>
    </row>
    <row r="614" ht="12.75">
      <c r="F614" s="13"/>
    </row>
    <row r="615" ht="12.75">
      <c r="F615" s="13"/>
    </row>
    <row r="616" ht="12.75">
      <c r="F616" s="13"/>
    </row>
    <row r="617" ht="12.75">
      <c r="F617" s="13"/>
    </row>
    <row r="618" ht="12.75">
      <c r="F618" s="13"/>
    </row>
    <row r="619" ht="12.75">
      <c r="F619" s="13"/>
    </row>
    <row r="620" ht="12.75">
      <c r="F620" s="13"/>
    </row>
    <row r="621" ht="12.75">
      <c r="F621" s="13"/>
    </row>
    <row r="622" ht="12.75">
      <c r="F622" s="13"/>
    </row>
    <row r="623" ht="12.75">
      <c r="F623" s="13"/>
    </row>
    <row r="624" ht="12.75">
      <c r="F624" s="13"/>
    </row>
    <row r="625" ht="12.75">
      <c r="F625" s="13"/>
    </row>
    <row r="626" ht="12.75">
      <c r="F626" s="13"/>
    </row>
    <row r="627" ht="12.75">
      <c r="F627" s="13"/>
    </row>
    <row r="628" ht="12.75">
      <c r="F628" s="13"/>
    </row>
    <row r="629" ht="12.75">
      <c r="F629" s="13"/>
    </row>
    <row r="630" ht="12.75">
      <c r="F630" s="13"/>
    </row>
    <row r="631" ht="12.75">
      <c r="F631" s="13"/>
    </row>
    <row r="632" ht="12.75">
      <c r="F632" s="13"/>
    </row>
    <row r="633" ht="12.75">
      <c r="F633" s="13"/>
    </row>
    <row r="634" ht="12.75">
      <c r="F634" s="13"/>
    </row>
    <row r="635" ht="12.75">
      <c r="F635" s="13"/>
    </row>
    <row r="636" ht="12.75">
      <c r="F636" s="13"/>
    </row>
    <row r="637" ht="12.75">
      <c r="F637" s="13"/>
    </row>
    <row r="638" ht="12.75">
      <c r="F638" s="13"/>
    </row>
    <row r="639" ht="12.75">
      <c r="F639" s="13"/>
    </row>
    <row r="640" ht="12.75">
      <c r="F640" s="13"/>
    </row>
    <row r="641" ht="12.75">
      <c r="F641" s="13"/>
    </row>
    <row r="642" ht="12.75">
      <c r="F642" s="13"/>
    </row>
    <row r="643" ht="12.75">
      <c r="F643" s="13"/>
    </row>
    <row r="644" ht="12.75">
      <c r="F644" s="13"/>
    </row>
    <row r="645" ht="12.75">
      <c r="F645" s="13"/>
    </row>
    <row r="646" ht="12.75">
      <c r="F646" s="13"/>
    </row>
    <row r="647" ht="12.75">
      <c r="F647" s="13"/>
    </row>
    <row r="648" ht="12.75">
      <c r="F648" s="13"/>
    </row>
    <row r="649" ht="12.75">
      <c r="F649" s="13"/>
    </row>
    <row r="650" ht="12.75">
      <c r="F650" s="13"/>
    </row>
    <row r="651" ht="12.75">
      <c r="F651" s="13"/>
    </row>
    <row r="652" ht="12.75">
      <c r="F652" s="13"/>
    </row>
    <row r="653" ht="12.75">
      <c r="F653" s="13"/>
    </row>
    <row r="654" ht="12.75">
      <c r="F654" s="13"/>
    </row>
    <row r="655" ht="12.75">
      <c r="F655" s="13"/>
    </row>
    <row r="656" ht="12.75">
      <c r="F656" s="13"/>
    </row>
    <row r="657" ht="12.75">
      <c r="F657" s="13"/>
    </row>
    <row r="658" ht="12.75">
      <c r="F658" s="13"/>
    </row>
    <row r="659" ht="12.75">
      <c r="F659" s="13"/>
    </row>
    <row r="660" ht="12.75">
      <c r="F660" s="13"/>
    </row>
    <row r="661" ht="12.75">
      <c r="F661" s="13"/>
    </row>
    <row r="662" ht="12.75">
      <c r="F662" s="13"/>
    </row>
    <row r="663" ht="12.75">
      <c r="F663" s="13"/>
    </row>
    <row r="664" ht="12.75">
      <c r="F664" s="13"/>
    </row>
    <row r="665" ht="12.75">
      <c r="F665" s="13"/>
    </row>
    <row r="666" ht="12.75">
      <c r="F666" s="13"/>
    </row>
    <row r="667" ht="12.75">
      <c r="F667" s="13"/>
    </row>
    <row r="668" ht="12.75">
      <c r="F668" s="13"/>
    </row>
    <row r="669" ht="12.75">
      <c r="F669" s="13"/>
    </row>
    <row r="670" ht="12.75">
      <c r="F670" s="13"/>
    </row>
    <row r="671" ht="12.75">
      <c r="F671" s="13"/>
    </row>
    <row r="672" ht="12.75">
      <c r="F672" s="13"/>
    </row>
    <row r="673" ht="12.75">
      <c r="F673" s="13"/>
    </row>
    <row r="674" ht="12.75">
      <c r="F674" s="13"/>
    </row>
    <row r="675" ht="12.75">
      <c r="F675" s="13"/>
    </row>
    <row r="676" ht="12.75">
      <c r="F676" s="13"/>
    </row>
    <row r="677" ht="12.75">
      <c r="F677" s="13"/>
    </row>
    <row r="678" ht="12.75">
      <c r="F678" s="13"/>
    </row>
    <row r="679" ht="12.75">
      <c r="F679" s="13"/>
    </row>
    <row r="680" ht="12.75">
      <c r="F680" s="13"/>
    </row>
    <row r="681" ht="12.75">
      <c r="F681" s="13"/>
    </row>
    <row r="682" ht="12.75">
      <c r="F682" s="13"/>
    </row>
    <row r="683" ht="12.75">
      <c r="F683" s="13"/>
    </row>
    <row r="684" ht="12.75">
      <c r="F684" s="13"/>
    </row>
    <row r="685" ht="12.75">
      <c r="F685" s="13"/>
    </row>
    <row r="686" ht="12.75">
      <c r="F686" s="13"/>
    </row>
    <row r="687" ht="12.75">
      <c r="F687" s="13"/>
    </row>
    <row r="688" ht="12.75">
      <c r="F688" s="13"/>
    </row>
    <row r="689" ht="12.75">
      <c r="F689" s="13"/>
    </row>
    <row r="690" ht="12.75">
      <c r="F690" s="13"/>
    </row>
    <row r="691" ht="12.75">
      <c r="F691" s="13"/>
    </row>
    <row r="692" ht="12.75">
      <c r="F692" s="13"/>
    </row>
    <row r="693" ht="12.75">
      <c r="F693" s="13"/>
    </row>
    <row r="694" ht="12.75">
      <c r="F694" s="13"/>
    </row>
    <row r="695" ht="12.75">
      <c r="F695" s="13"/>
    </row>
    <row r="696" ht="12.75">
      <c r="F696" s="13"/>
    </row>
    <row r="697" ht="12.75">
      <c r="F697" s="13"/>
    </row>
    <row r="698" ht="12.75">
      <c r="F698" s="13"/>
    </row>
    <row r="699" ht="12.75">
      <c r="F699" s="13"/>
    </row>
    <row r="700" ht="12.75">
      <c r="F700" s="13"/>
    </row>
    <row r="701" ht="12.75">
      <c r="F701" s="13"/>
    </row>
    <row r="702" ht="12.75">
      <c r="F702" s="13"/>
    </row>
    <row r="703" ht="12.75">
      <c r="F703" s="13"/>
    </row>
    <row r="704" ht="12.75">
      <c r="F704" s="13"/>
    </row>
    <row r="705" ht="12.75">
      <c r="F705" s="13"/>
    </row>
    <row r="706" ht="12.75">
      <c r="F706" s="13"/>
    </row>
    <row r="707" ht="12.75">
      <c r="F707" s="13"/>
    </row>
    <row r="708" ht="12.75">
      <c r="F708" s="13"/>
    </row>
    <row r="709" ht="12.75">
      <c r="F709" s="13"/>
    </row>
    <row r="710" ht="12.75">
      <c r="F710" s="13"/>
    </row>
    <row r="711" ht="12.75">
      <c r="F711" s="13"/>
    </row>
    <row r="712" ht="12.75">
      <c r="F712" s="13"/>
    </row>
    <row r="713" ht="12.75">
      <c r="F713" s="13"/>
    </row>
    <row r="714" ht="12.75">
      <c r="F714" s="13"/>
    </row>
    <row r="715" ht="12.75">
      <c r="F715" s="13"/>
    </row>
    <row r="716" ht="12.75">
      <c r="F716" s="13"/>
    </row>
    <row r="717" ht="12.75">
      <c r="F717" s="13"/>
    </row>
    <row r="718" ht="12.75">
      <c r="F718" s="13"/>
    </row>
    <row r="719" ht="12.75">
      <c r="F719" s="13"/>
    </row>
    <row r="720" ht="12.75">
      <c r="F720" s="13"/>
    </row>
    <row r="721" ht="12.75">
      <c r="F721" s="13"/>
    </row>
    <row r="722" ht="12.75">
      <c r="F722" s="13"/>
    </row>
    <row r="723" ht="12.75">
      <c r="F723" s="13"/>
    </row>
    <row r="724" ht="12.75">
      <c r="F724" s="13"/>
    </row>
    <row r="725" ht="12.75">
      <c r="F725" s="13"/>
    </row>
    <row r="726" ht="12.75">
      <c r="F726" s="13"/>
    </row>
    <row r="727" ht="12.75">
      <c r="F727" s="13"/>
    </row>
    <row r="728" ht="12.75">
      <c r="F728" s="13"/>
    </row>
    <row r="729" ht="12.75">
      <c r="F729" s="13"/>
    </row>
    <row r="730" ht="12.75">
      <c r="F730" s="13"/>
    </row>
    <row r="731" ht="12.75">
      <c r="F731" s="13"/>
    </row>
    <row r="732" ht="12.75">
      <c r="F732" s="13"/>
    </row>
    <row r="733" ht="12.75">
      <c r="F733" s="13"/>
    </row>
    <row r="734" ht="12.75">
      <c r="F734" s="13"/>
    </row>
    <row r="735" ht="12.75">
      <c r="F735" s="13"/>
    </row>
    <row r="736" ht="12.75">
      <c r="F736" s="13"/>
    </row>
    <row r="737" ht="12.75">
      <c r="F737" s="13"/>
    </row>
    <row r="738" ht="12.75">
      <c r="F738" s="13"/>
    </row>
    <row r="739" ht="12.75">
      <c r="F739" s="13"/>
    </row>
    <row r="740" ht="12.75">
      <c r="F740" s="13"/>
    </row>
    <row r="741" ht="12.75">
      <c r="F741" s="13"/>
    </row>
    <row r="742" ht="12.75">
      <c r="F742" s="13"/>
    </row>
    <row r="743" ht="12.75">
      <c r="F743" s="13"/>
    </row>
    <row r="744" ht="12.75">
      <c r="F744" s="13"/>
    </row>
    <row r="745" ht="12.75">
      <c r="F745" s="13"/>
    </row>
    <row r="746" ht="12.75">
      <c r="F746" s="13"/>
    </row>
    <row r="747" ht="12.75">
      <c r="F747" s="13"/>
    </row>
    <row r="748" ht="12.75">
      <c r="F748" s="13"/>
    </row>
    <row r="749" ht="12.75">
      <c r="F749" s="13"/>
    </row>
    <row r="750" ht="12.75">
      <c r="F750" s="13"/>
    </row>
    <row r="751" ht="12.75">
      <c r="F751" s="13"/>
    </row>
    <row r="752" ht="12.75">
      <c r="F752" s="13"/>
    </row>
    <row r="753" ht="12.75">
      <c r="F753" s="13"/>
    </row>
    <row r="754" ht="12.75">
      <c r="F754" s="13"/>
    </row>
    <row r="755" ht="12.75">
      <c r="F755" s="13"/>
    </row>
    <row r="756" ht="12.75">
      <c r="F756" s="13"/>
    </row>
    <row r="757" ht="12.75">
      <c r="F757" s="13"/>
    </row>
    <row r="758" ht="12.75">
      <c r="F758" s="13"/>
    </row>
    <row r="759" ht="12.75">
      <c r="F759" s="13"/>
    </row>
    <row r="760" ht="12.75">
      <c r="F760" s="13"/>
    </row>
    <row r="761" ht="12.75">
      <c r="F761" s="13"/>
    </row>
    <row r="762" ht="12.75">
      <c r="F762" s="13"/>
    </row>
    <row r="763" ht="12.75">
      <c r="F763" s="13"/>
    </row>
    <row r="764" ht="12.75">
      <c r="F764" s="13"/>
    </row>
    <row r="765" ht="12.75">
      <c r="F765" s="13"/>
    </row>
    <row r="766" ht="12.75">
      <c r="F766" s="13"/>
    </row>
    <row r="767" ht="12.75">
      <c r="F767" s="13"/>
    </row>
    <row r="768" ht="12.75">
      <c r="F768" s="13"/>
    </row>
    <row r="769" ht="12.75">
      <c r="F769" s="13"/>
    </row>
    <row r="770" ht="12.75">
      <c r="F770" s="13"/>
    </row>
    <row r="771" ht="12.75">
      <c r="F771" s="13"/>
    </row>
    <row r="772" ht="12.75">
      <c r="F772" s="13"/>
    </row>
    <row r="773" ht="12.75">
      <c r="F773" s="13"/>
    </row>
    <row r="774" ht="12.75">
      <c r="F774" s="13"/>
    </row>
    <row r="775" ht="12.75">
      <c r="F775" s="13"/>
    </row>
    <row r="776" ht="12.75">
      <c r="F776" s="13"/>
    </row>
    <row r="777" ht="12.75">
      <c r="F777" s="13"/>
    </row>
    <row r="778" ht="12.75">
      <c r="F778" s="13"/>
    </row>
    <row r="779" ht="12.75">
      <c r="F779" s="13"/>
    </row>
    <row r="780" ht="12.75">
      <c r="F780" s="13"/>
    </row>
    <row r="781" ht="12.75">
      <c r="F781" s="13"/>
    </row>
    <row r="782" ht="12.75">
      <c r="F782" s="13"/>
    </row>
    <row r="783" ht="12.75">
      <c r="F783" s="13"/>
    </row>
    <row r="784" ht="12.75">
      <c r="F784" s="13"/>
    </row>
    <row r="785" ht="12.75">
      <c r="F785" s="13"/>
    </row>
    <row r="786" ht="12.75">
      <c r="F786" s="13"/>
    </row>
    <row r="787" ht="12.75">
      <c r="F787" s="13"/>
    </row>
    <row r="788" ht="12.75">
      <c r="F788" s="13"/>
    </row>
    <row r="789" ht="12.75">
      <c r="F789" s="13"/>
    </row>
    <row r="790" ht="12.75">
      <c r="F790" s="13"/>
    </row>
    <row r="791" ht="12.75">
      <c r="F791" s="13"/>
    </row>
    <row r="792" ht="12.75">
      <c r="F792" s="13"/>
    </row>
    <row r="793" ht="12.75">
      <c r="F793" s="13"/>
    </row>
    <row r="794" ht="12.75">
      <c r="F794" s="13"/>
    </row>
    <row r="795" ht="12.75">
      <c r="F795" s="13"/>
    </row>
    <row r="796" ht="12.75">
      <c r="F796" s="13"/>
    </row>
    <row r="797" ht="12.75">
      <c r="F797" s="13"/>
    </row>
    <row r="798" ht="12.75">
      <c r="F798" s="13"/>
    </row>
    <row r="799" ht="12.75">
      <c r="F799" s="13"/>
    </row>
    <row r="800" ht="12.75">
      <c r="F800" s="13"/>
    </row>
    <row r="801" ht="12.75">
      <c r="F801" s="13"/>
    </row>
    <row r="802" ht="12.75">
      <c r="F802" s="13"/>
    </row>
    <row r="803" ht="12.75">
      <c r="F803" s="13"/>
    </row>
    <row r="804" ht="12.75">
      <c r="F804" s="13"/>
    </row>
    <row r="805" ht="12.75">
      <c r="F805" s="13"/>
    </row>
    <row r="806" ht="12.75">
      <c r="F806" s="13"/>
    </row>
    <row r="807" ht="12.75">
      <c r="F807" s="13"/>
    </row>
    <row r="808" ht="12.75">
      <c r="F808" s="13"/>
    </row>
    <row r="809" ht="12.75">
      <c r="F809" s="13"/>
    </row>
    <row r="810" ht="12.75">
      <c r="F810" s="13"/>
    </row>
    <row r="811" ht="12.75">
      <c r="F811" s="13"/>
    </row>
    <row r="812" ht="12.75">
      <c r="F812" s="13"/>
    </row>
    <row r="813" ht="12.75">
      <c r="F813" s="13"/>
    </row>
    <row r="814" ht="12.75">
      <c r="F814" s="13"/>
    </row>
    <row r="815" ht="12.75">
      <c r="F815" s="13"/>
    </row>
    <row r="816" ht="12.75">
      <c r="F816" s="13"/>
    </row>
    <row r="817" ht="12.75">
      <c r="F817" s="13"/>
    </row>
    <row r="818" ht="12.75">
      <c r="F818" s="13"/>
    </row>
    <row r="819" ht="12.75">
      <c r="F819" s="13"/>
    </row>
    <row r="820" ht="12.75">
      <c r="F820" s="13"/>
    </row>
    <row r="821" ht="12.75">
      <c r="F821" s="13"/>
    </row>
    <row r="822" ht="12.75">
      <c r="F822" s="13"/>
    </row>
    <row r="823" ht="12.75">
      <c r="F823" s="13"/>
    </row>
    <row r="824" ht="12.75">
      <c r="F824" s="13"/>
    </row>
    <row r="825" ht="12.75">
      <c r="F825" s="13"/>
    </row>
    <row r="826" ht="12.75">
      <c r="F826" s="13"/>
    </row>
    <row r="827" ht="12.75">
      <c r="F827" s="13"/>
    </row>
    <row r="828" ht="12.75">
      <c r="F828" s="13"/>
    </row>
    <row r="829" ht="12.75">
      <c r="F829" s="13"/>
    </row>
    <row r="830" ht="12.75">
      <c r="F830" s="13"/>
    </row>
    <row r="831" ht="12.75">
      <c r="F831" s="13"/>
    </row>
    <row r="832" ht="12.75">
      <c r="F832" s="13"/>
    </row>
    <row r="833" ht="12.75">
      <c r="F833" s="13"/>
    </row>
    <row r="834" ht="12.75">
      <c r="F834" s="13"/>
    </row>
    <row r="835" ht="12.75">
      <c r="F835" s="13"/>
    </row>
    <row r="836" ht="12.75">
      <c r="F836" s="13"/>
    </row>
    <row r="837" ht="12.75">
      <c r="F837" s="13"/>
    </row>
    <row r="838" ht="12.75">
      <c r="F838" s="13"/>
    </row>
    <row r="839" ht="12.75">
      <c r="F839" s="13"/>
    </row>
    <row r="840" ht="12.75">
      <c r="F840" s="13"/>
    </row>
    <row r="841" ht="12.75">
      <c r="F841" s="13"/>
    </row>
    <row r="842" ht="12.75">
      <c r="F842" s="13"/>
    </row>
    <row r="843" ht="12.75">
      <c r="F843" s="13"/>
    </row>
    <row r="844" ht="12.75">
      <c r="F844" s="13"/>
    </row>
    <row r="845" ht="12.75">
      <c r="F845" s="13"/>
    </row>
    <row r="846" ht="12.75">
      <c r="F846" s="13"/>
    </row>
    <row r="847" ht="12.75">
      <c r="F847" s="13"/>
    </row>
    <row r="848" ht="12.75">
      <c r="F848" s="13"/>
    </row>
    <row r="849" ht="12.75">
      <c r="F849" s="13"/>
    </row>
    <row r="850" ht="12.75">
      <c r="F850" s="13"/>
    </row>
    <row r="851" ht="12.75">
      <c r="F851" s="13"/>
    </row>
    <row r="852" ht="12.75">
      <c r="F852" s="13"/>
    </row>
    <row r="853" ht="12.75">
      <c r="F853" s="13"/>
    </row>
    <row r="854" ht="12.75">
      <c r="F854" s="13"/>
    </row>
    <row r="855" ht="12.75">
      <c r="F855" s="13"/>
    </row>
    <row r="856" ht="12.75">
      <c r="F856" s="13"/>
    </row>
    <row r="857" ht="12.75">
      <c r="F857" s="13"/>
    </row>
    <row r="858" ht="12.75">
      <c r="F858" s="13"/>
    </row>
    <row r="859" ht="12.75">
      <c r="F859" s="13"/>
    </row>
    <row r="860" ht="12.75">
      <c r="F860" s="13"/>
    </row>
    <row r="861" ht="12.75">
      <c r="F861" s="13"/>
    </row>
    <row r="862" ht="12.75">
      <c r="F862" s="13"/>
    </row>
    <row r="863" ht="12.75">
      <c r="F863" s="13"/>
    </row>
    <row r="864" ht="12.75">
      <c r="F864" s="13"/>
    </row>
    <row r="865" ht="12.75">
      <c r="F865" s="13"/>
    </row>
    <row r="866" ht="12.75">
      <c r="F866" s="13"/>
    </row>
    <row r="867" ht="12.75">
      <c r="F867" s="13"/>
    </row>
    <row r="868" ht="12.75">
      <c r="F868" s="13"/>
    </row>
    <row r="869" ht="12.75">
      <c r="F869" s="13"/>
    </row>
    <row r="870" ht="12.75">
      <c r="F870" s="13"/>
    </row>
    <row r="871" ht="12.75">
      <c r="F871" s="13"/>
    </row>
    <row r="872" ht="12.75">
      <c r="F872" s="13"/>
    </row>
    <row r="873" ht="12.75">
      <c r="F873" s="13"/>
    </row>
    <row r="874" ht="12.75">
      <c r="F874" s="13"/>
    </row>
    <row r="875" ht="12.75">
      <c r="F875" s="13"/>
    </row>
    <row r="876" ht="12.75">
      <c r="F876" s="13"/>
    </row>
    <row r="877" ht="12.75">
      <c r="F877" s="13"/>
    </row>
    <row r="878" ht="12.75">
      <c r="F878" s="13"/>
    </row>
    <row r="879" ht="12.75">
      <c r="F879" s="13"/>
    </row>
    <row r="880" ht="12.75">
      <c r="F880" s="13"/>
    </row>
    <row r="881" ht="12.75">
      <c r="F881" s="13"/>
    </row>
    <row r="882" ht="12.75">
      <c r="F882" s="13"/>
    </row>
    <row r="883" ht="12.75">
      <c r="F883" s="13"/>
    </row>
    <row r="884" ht="12.75">
      <c r="F884" s="13"/>
    </row>
    <row r="885" ht="12.75">
      <c r="F885" s="13"/>
    </row>
    <row r="886" ht="12.75">
      <c r="F886" s="13"/>
    </row>
    <row r="887" ht="12.75">
      <c r="F887" s="13"/>
    </row>
    <row r="888" ht="12.75">
      <c r="F888" s="13"/>
    </row>
    <row r="889" ht="12.75">
      <c r="F889" s="13"/>
    </row>
    <row r="890" ht="12.75">
      <c r="F890" s="13"/>
    </row>
    <row r="891" ht="12.75">
      <c r="F891" s="13"/>
    </row>
    <row r="892" ht="12.75">
      <c r="F892" s="13"/>
    </row>
    <row r="893" ht="12.75">
      <c r="F893" s="13"/>
    </row>
    <row r="894" ht="12.75">
      <c r="F894" s="13"/>
    </row>
    <row r="895" ht="12.75">
      <c r="F895" s="13"/>
    </row>
    <row r="896" ht="12.75">
      <c r="F896" s="13"/>
    </row>
    <row r="897" ht="12.75">
      <c r="F897" s="13"/>
    </row>
    <row r="898" ht="12.75">
      <c r="F898" s="13"/>
    </row>
    <row r="899" ht="12.75">
      <c r="F899" s="13"/>
    </row>
    <row r="900" ht="12.75">
      <c r="F900" s="13"/>
    </row>
    <row r="901" ht="12.75">
      <c r="F901" s="13"/>
    </row>
    <row r="902" ht="12.75">
      <c r="F902" s="13"/>
    </row>
    <row r="903" ht="12.75">
      <c r="F903" s="13"/>
    </row>
    <row r="904" ht="12.75">
      <c r="F904" s="13"/>
    </row>
    <row r="905" ht="12.75">
      <c r="F905" s="13"/>
    </row>
    <row r="906" ht="12.75">
      <c r="F906" s="13"/>
    </row>
    <row r="907" ht="12.75">
      <c r="F907" s="13"/>
    </row>
    <row r="908" ht="12.75">
      <c r="F908" s="13"/>
    </row>
    <row r="909" ht="12.75">
      <c r="F909" s="13"/>
    </row>
    <row r="910" ht="12.75">
      <c r="F910" s="13"/>
    </row>
    <row r="911" ht="12.75">
      <c r="F911" s="13"/>
    </row>
    <row r="912" ht="12.75">
      <c r="F912" s="13"/>
    </row>
    <row r="913" ht="12.75">
      <c r="F913" s="13"/>
    </row>
    <row r="914" ht="12.75">
      <c r="F914" s="13"/>
    </row>
    <row r="915" ht="12.75">
      <c r="F915" s="13"/>
    </row>
    <row r="916" ht="12.75">
      <c r="F916" s="13"/>
    </row>
    <row r="917" ht="12.75">
      <c r="F917" s="13"/>
    </row>
    <row r="918" ht="12.75">
      <c r="F918" s="13"/>
    </row>
    <row r="919" ht="12.75">
      <c r="F919" s="13"/>
    </row>
    <row r="920" ht="12.75">
      <c r="F920" s="13"/>
    </row>
    <row r="921" ht="12.75">
      <c r="F921" s="13"/>
    </row>
    <row r="922" ht="12.75">
      <c r="F922" s="13"/>
    </row>
    <row r="923" ht="12.75">
      <c r="F923" s="13"/>
    </row>
    <row r="924" ht="12.75">
      <c r="F924" s="13"/>
    </row>
    <row r="925" ht="12.75">
      <c r="F925" s="13"/>
    </row>
    <row r="926" ht="12.75">
      <c r="F926" s="13"/>
    </row>
    <row r="927" ht="12.75">
      <c r="F927" s="13"/>
    </row>
    <row r="928" ht="12.75">
      <c r="F928" s="13"/>
    </row>
    <row r="929" ht="12.75">
      <c r="F929" s="13"/>
    </row>
    <row r="930" ht="12.75">
      <c r="F930" s="13"/>
    </row>
    <row r="931" ht="12.75">
      <c r="F931" s="13"/>
    </row>
    <row r="932" ht="12.75">
      <c r="F932" s="13"/>
    </row>
    <row r="933" ht="12.75">
      <c r="F933" s="13"/>
    </row>
    <row r="934" ht="12.75">
      <c r="F934" s="13"/>
    </row>
    <row r="935" ht="12.75">
      <c r="F935" s="13"/>
    </row>
    <row r="936" ht="12.75">
      <c r="F936" s="13"/>
    </row>
    <row r="937" ht="12.75">
      <c r="F937" s="13"/>
    </row>
    <row r="938" ht="12.75">
      <c r="F938" s="13"/>
    </row>
    <row r="939" ht="12.75">
      <c r="F939" s="13"/>
    </row>
    <row r="940" ht="12.75">
      <c r="F940" s="13"/>
    </row>
    <row r="941" ht="12.75">
      <c r="F941" s="13"/>
    </row>
    <row r="942" ht="12.75">
      <c r="F942" s="13"/>
    </row>
    <row r="943" ht="12.75">
      <c r="F943" s="13"/>
    </row>
    <row r="944" ht="12.75">
      <c r="F944" s="13"/>
    </row>
    <row r="945" ht="12.75">
      <c r="F945" s="13"/>
    </row>
    <row r="946" ht="12.75">
      <c r="F946" s="13"/>
    </row>
    <row r="947" ht="12.75">
      <c r="F947" s="13"/>
    </row>
    <row r="948" ht="12.75">
      <c r="F948" s="13"/>
    </row>
    <row r="949" ht="12.75">
      <c r="F949" s="13"/>
    </row>
    <row r="950" ht="12.75">
      <c r="F950" s="13"/>
    </row>
    <row r="951" ht="12.75">
      <c r="F951" s="13"/>
    </row>
    <row r="952" ht="12.75">
      <c r="F952" s="13"/>
    </row>
    <row r="953" ht="12.75">
      <c r="F953" s="13"/>
    </row>
    <row r="954" ht="12.75">
      <c r="F954" s="13"/>
    </row>
    <row r="955" ht="12.75">
      <c r="F955" s="13"/>
    </row>
    <row r="956" ht="12.75">
      <c r="F956" s="13"/>
    </row>
    <row r="957" ht="12.75">
      <c r="F957" s="13"/>
    </row>
    <row r="958" ht="12.75">
      <c r="F958" s="13"/>
    </row>
    <row r="959" ht="12.75">
      <c r="F959" s="13"/>
    </row>
    <row r="960" ht="12.75">
      <c r="F960" s="13"/>
    </row>
    <row r="961" ht="12.75">
      <c r="F961" s="13"/>
    </row>
    <row r="962" ht="12.75">
      <c r="F962" s="13"/>
    </row>
    <row r="963" ht="12.75">
      <c r="F963" s="13"/>
    </row>
    <row r="964" ht="12.75">
      <c r="F964" s="13"/>
    </row>
    <row r="965" ht="12.75">
      <c r="F965" s="13"/>
    </row>
    <row r="966" ht="12.75">
      <c r="F966" s="13"/>
    </row>
    <row r="967" ht="12.75">
      <c r="F967" s="13"/>
    </row>
    <row r="968" ht="12.75">
      <c r="F968" s="13"/>
    </row>
    <row r="969" ht="12.75">
      <c r="F969" s="13"/>
    </row>
    <row r="970" ht="12.75">
      <c r="F970" s="13"/>
    </row>
    <row r="971" ht="12.75">
      <c r="F971" s="13"/>
    </row>
    <row r="972" ht="12.75">
      <c r="F972" s="13"/>
    </row>
    <row r="973" ht="12.75">
      <c r="F973" s="13"/>
    </row>
    <row r="974" ht="12.75">
      <c r="F974" s="13"/>
    </row>
    <row r="975" ht="12.75">
      <c r="F975" s="13"/>
    </row>
    <row r="976" ht="12.75">
      <c r="F976" s="13"/>
    </row>
    <row r="977" ht="12.75">
      <c r="F977" s="13"/>
    </row>
    <row r="978" ht="12.75">
      <c r="F978" s="13"/>
    </row>
    <row r="979" ht="12.75">
      <c r="F979" s="13"/>
    </row>
    <row r="980" ht="12.75">
      <c r="F980" s="13"/>
    </row>
    <row r="981" ht="12.75">
      <c r="F981" s="13"/>
    </row>
    <row r="982" ht="12.75">
      <c r="F982" s="13"/>
    </row>
    <row r="983" ht="12.75">
      <c r="F983" s="13"/>
    </row>
    <row r="984" ht="12.75">
      <c r="F984" s="13"/>
    </row>
    <row r="985" ht="12.75">
      <c r="F985" s="13"/>
    </row>
    <row r="986" ht="12.75">
      <c r="F986" s="13"/>
    </row>
    <row r="987" ht="12.75">
      <c r="F987" s="13"/>
    </row>
    <row r="988" ht="12.75">
      <c r="F988" s="13"/>
    </row>
    <row r="989" ht="12.75">
      <c r="F989" s="13"/>
    </row>
    <row r="990" ht="12.75">
      <c r="F990" s="13"/>
    </row>
    <row r="991" ht="12.75">
      <c r="F991" s="13"/>
    </row>
    <row r="992" ht="12.75">
      <c r="F992" s="13"/>
    </row>
    <row r="993" ht="12.75">
      <c r="F993" s="13"/>
    </row>
    <row r="994" ht="12.75">
      <c r="F994" s="13"/>
    </row>
    <row r="995" ht="12.75">
      <c r="F995" s="13"/>
    </row>
    <row r="996" ht="12.75">
      <c r="F996" s="13"/>
    </row>
    <row r="997" ht="12.75">
      <c r="F997" s="13"/>
    </row>
    <row r="998" ht="12.75">
      <c r="F998" s="13"/>
    </row>
    <row r="999" ht="12.75">
      <c r="F999" s="13"/>
    </row>
    <row r="1000" ht="12.75">
      <c r="F1000" s="13"/>
    </row>
    <row r="1001" ht="12.75">
      <c r="F1001" s="13"/>
    </row>
    <row r="1002" ht="12.75">
      <c r="F1002" s="13"/>
    </row>
    <row r="1003" ht="12.75">
      <c r="F1003" s="13"/>
    </row>
    <row r="1004" ht="12.75">
      <c r="F1004" s="13"/>
    </row>
    <row r="1005" ht="12.75">
      <c r="F1005" s="13"/>
    </row>
    <row r="1006" ht="12.75">
      <c r="F1006" s="13"/>
    </row>
    <row r="1007" ht="12.75">
      <c r="F1007" s="13"/>
    </row>
    <row r="1008" ht="12.75">
      <c r="F1008" s="13"/>
    </row>
    <row r="1009" ht="12.75">
      <c r="F1009" s="13"/>
    </row>
    <row r="1010" ht="12.75">
      <c r="F1010" s="13"/>
    </row>
    <row r="1011" ht="12.75">
      <c r="F1011" s="13"/>
    </row>
    <row r="1012" ht="12.75">
      <c r="F1012" s="13"/>
    </row>
    <row r="1013" ht="12.75">
      <c r="F1013" s="13"/>
    </row>
    <row r="1014" ht="12.75">
      <c r="F1014" s="13"/>
    </row>
    <row r="1015" ht="12.75">
      <c r="F1015" s="13"/>
    </row>
    <row r="1016" ht="12.75">
      <c r="F1016" s="13"/>
    </row>
    <row r="1017" ht="12.75">
      <c r="F1017" s="13"/>
    </row>
    <row r="1018" ht="12.75">
      <c r="F1018" s="13"/>
    </row>
    <row r="1019" ht="12.75">
      <c r="F1019" s="13"/>
    </row>
    <row r="1020" ht="12.75">
      <c r="F1020" s="13"/>
    </row>
    <row r="1021" ht="12.75">
      <c r="F1021" s="13"/>
    </row>
    <row r="1022" ht="12.75">
      <c r="F1022" s="13"/>
    </row>
    <row r="1023" ht="12.75">
      <c r="F1023" s="13"/>
    </row>
    <row r="1024" ht="12.75">
      <c r="F1024" s="13"/>
    </row>
    <row r="1025" ht="12.75">
      <c r="F1025" s="13"/>
    </row>
    <row r="1026" ht="12.75">
      <c r="F1026" s="13"/>
    </row>
    <row r="1027" ht="12.75">
      <c r="F1027" s="13"/>
    </row>
    <row r="1028" ht="12.75">
      <c r="F1028" s="13"/>
    </row>
    <row r="1029" ht="12.75">
      <c r="F1029" s="13"/>
    </row>
    <row r="1030" ht="12.75">
      <c r="F1030" s="13"/>
    </row>
    <row r="1031" ht="12.75">
      <c r="F1031" s="13"/>
    </row>
    <row r="1032" ht="12.75">
      <c r="F1032" s="13"/>
    </row>
    <row r="1033" ht="12.75">
      <c r="F1033" s="13"/>
    </row>
    <row r="1034" ht="12.75">
      <c r="F1034" s="13"/>
    </row>
    <row r="1035" ht="12.75">
      <c r="F1035" s="13"/>
    </row>
    <row r="1036" ht="12.75">
      <c r="F1036" s="13"/>
    </row>
    <row r="1037" ht="12.75">
      <c r="F1037" s="13"/>
    </row>
    <row r="1038" ht="12.75">
      <c r="F1038" s="13"/>
    </row>
    <row r="1039" ht="12.75">
      <c r="F1039" s="13"/>
    </row>
    <row r="1040" ht="12.75">
      <c r="F1040" s="13"/>
    </row>
    <row r="1041" ht="12.75">
      <c r="F1041" s="13"/>
    </row>
    <row r="1042" ht="12.75">
      <c r="F1042" s="13"/>
    </row>
    <row r="1043" ht="12.75">
      <c r="F1043" s="13"/>
    </row>
    <row r="1044" ht="12.75">
      <c r="F1044" s="13"/>
    </row>
    <row r="1045" ht="12.75">
      <c r="F1045" s="13"/>
    </row>
    <row r="1046" ht="12.75">
      <c r="F1046" s="13"/>
    </row>
    <row r="1047" ht="12.75">
      <c r="F1047" s="13"/>
    </row>
    <row r="1048" ht="12.75">
      <c r="F1048" s="13"/>
    </row>
    <row r="1049" ht="12.75">
      <c r="F1049" s="13"/>
    </row>
    <row r="1050" ht="12.75">
      <c r="F1050" s="13"/>
    </row>
    <row r="1051" ht="12.75">
      <c r="F1051" s="13"/>
    </row>
    <row r="1052" ht="12.75">
      <c r="F1052" s="13"/>
    </row>
    <row r="1053" ht="12.75">
      <c r="F1053" s="13"/>
    </row>
    <row r="1054" ht="12.75">
      <c r="F1054" s="13"/>
    </row>
    <row r="1055" ht="12.75">
      <c r="F1055" s="13"/>
    </row>
    <row r="1056" ht="12.75">
      <c r="F1056" s="13"/>
    </row>
    <row r="1057" ht="12.75">
      <c r="F1057" s="13"/>
    </row>
    <row r="1058" ht="12.75">
      <c r="F1058" s="13"/>
    </row>
    <row r="1059" ht="12.75">
      <c r="F1059" s="13"/>
    </row>
    <row r="1060" ht="12.75">
      <c r="F1060" s="13"/>
    </row>
    <row r="1061" ht="12.75">
      <c r="F1061" s="13"/>
    </row>
    <row r="1062" ht="12.75">
      <c r="F1062" s="13"/>
    </row>
    <row r="1063" ht="12.75">
      <c r="F1063" s="13"/>
    </row>
    <row r="1064" ht="12.75">
      <c r="F1064" s="13"/>
    </row>
    <row r="1065" ht="12.75">
      <c r="F1065" s="13"/>
    </row>
    <row r="1066" ht="12.75">
      <c r="F1066" s="13"/>
    </row>
    <row r="1067" ht="12.75">
      <c r="F1067" s="13"/>
    </row>
    <row r="1068" ht="12.75">
      <c r="F1068" s="13"/>
    </row>
    <row r="1069" ht="12.75">
      <c r="F1069" s="13"/>
    </row>
    <row r="1070" ht="12.75">
      <c r="F1070" s="13"/>
    </row>
    <row r="1071" ht="12.75">
      <c r="F1071" s="13"/>
    </row>
    <row r="1072" ht="12.75">
      <c r="F1072" s="13"/>
    </row>
    <row r="1073" ht="12.75">
      <c r="F1073" s="13"/>
    </row>
    <row r="1074" ht="12.75">
      <c r="F1074" s="13"/>
    </row>
    <row r="1075" ht="12.75">
      <c r="F1075" s="13"/>
    </row>
    <row r="1076" ht="12.75">
      <c r="F1076" s="13"/>
    </row>
    <row r="1077" ht="12.75">
      <c r="F1077" s="13"/>
    </row>
    <row r="1078" ht="12.75">
      <c r="F1078" s="13"/>
    </row>
    <row r="1079" ht="12.75">
      <c r="F1079" s="13"/>
    </row>
    <row r="1080" ht="12.75">
      <c r="F1080" s="13"/>
    </row>
    <row r="1081" ht="12.75">
      <c r="F1081" s="13"/>
    </row>
    <row r="1082" ht="12.75">
      <c r="F1082" s="13"/>
    </row>
    <row r="1083" ht="12.75">
      <c r="F1083" s="13"/>
    </row>
    <row r="1084" ht="12.75">
      <c r="F1084" s="13"/>
    </row>
    <row r="1085" ht="12.75">
      <c r="F1085" s="13"/>
    </row>
    <row r="1086" ht="12.75">
      <c r="F1086" s="13"/>
    </row>
    <row r="1087" ht="12.75">
      <c r="F1087" s="13"/>
    </row>
    <row r="1088" ht="12.75">
      <c r="F1088" s="13"/>
    </row>
    <row r="1089" ht="12.75">
      <c r="F1089" s="13"/>
    </row>
    <row r="1090" ht="12.75">
      <c r="F1090" s="13"/>
    </row>
    <row r="1091" ht="12.75">
      <c r="F1091" s="13"/>
    </row>
    <row r="1092" ht="12.75">
      <c r="F1092" s="13"/>
    </row>
    <row r="1093" ht="12.75">
      <c r="F1093" s="13"/>
    </row>
    <row r="1094" ht="12.75">
      <c r="F1094" s="13"/>
    </row>
    <row r="1095" ht="12.75">
      <c r="F1095" s="13"/>
    </row>
    <row r="1096" ht="12.75">
      <c r="F1096" s="13"/>
    </row>
    <row r="1097" ht="12.75">
      <c r="F1097" s="13"/>
    </row>
    <row r="1098" ht="12.75">
      <c r="F1098" s="13"/>
    </row>
    <row r="1099" ht="12.75">
      <c r="F1099" s="13"/>
    </row>
    <row r="1100" ht="12.75">
      <c r="F1100" s="13"/>
    </row>
    <row r="1101" ht="12.75">
      <c r="F1101" s="13"/>
    </row>
    <row r="1102" ht="12.75">
      <c r="F1102" s="13"/>
    </row>
    <row r="1103" ht="12.75">
      <c r="F1103" s="13"/>
    </row>
    <row r="1104" ht="12.75">
      <c r="F1104" s="13"/>
    </row>
    <row r="1105" ht="12.75">
      <c r="F1105" s="13"/>
    </row>
    <row r="1106" ht="12.75">
      <c r="F1106" s="13"/>
    </row>
    <row r="1107" ht="12.75">
      <c r="F1107" s="13"/>
    </row>
    <row r="1108" ht="12.75">
      <c r="F1108" s="13"/>
    </row>
    <row r="1109" ht="12.75">
      <c r="F1109" s="13"/>
    </row>
    <row r="1110" ht="12.75">
      <c r="F1110" s="13"/>
    </row>
    <row r="1111" ht="12.75">
      <c r="F1111" s="13"/>
    </row>
    <row r="1112" ht="12.75">
      <c r="F1112" s="13"/>
    </row>
    <row r="1113" ht="12.75">
      <c r="F1113" s="13"/>
    </row>
    <row r="1114" ht="12.75">
      <c r="F1114" s="13"/>
    </row>
    <row r="1115" ht="12.75">
      <c r="F1115" s="13"/>
    </row>
    <row r="1116" ht="12.75">
      <c r="F1116" s="13"/>
    </row>
    <row r="1117" ht="12.75">
      <c r="F1117" s="13"/>
    </row>
    <row r="1118" ht="12.75">
      <c r="F1118" s="13"/>
    </row>
    <row r="1119" ht="12.75">
      <c r="F1119" s="13"/>
    </row>
    <row r="1120" ht="12.75">
      <c r="F1120" s="13"/>
    </row>
    <row r="1121" ht="12.75">
      <c r="F1121" s="13"/>
    </row>
    <row r="1122" ht="12.75">
      <c r="F1122" s="13"/>
    </row>
    <row r="1123" ht="12.75">
      <c r="F1123" s="13"/>
    </row>
    <row r="1124" ht="12.75">
      <c r="F1124" s="13"/>
    </row>
    <row r="1125" ht="12.75">
      <c r="F1125" s="13"/>
    </row>
    <row r="1126" ht="12.75">
      <c r="F1126" s="13"/>
    </row>
    <row r="1127" ht="12.75">
      <c r="F1127" s="13"/>
    </row>
    <row r="1128" ht="12.75">
      <c r="F1128" s="13"/>
    </row>
    <row r="1129" ht="12.75">
      <c r="F1129" s="13"/>
    </row>
    <row r="1130" ht="12.75">
      <c r="F1130" s="13"/>
    </row>
    <row r="1131" ht="12.75">
      <c r="F1131" s="13"/>
    </row>
    <row r="1132" ht="12.75">
      <c r="F1132" s="13"/>
    </row>
    <row r="1133" ht="12.75">
      <c r="F1133" s="13"/>
    </row>
    <row r="1134" ht="12.75">
      <c r="F1134" s="13"/>
    </row>
    <row r="1135" ht="12.75">
      <c r="F1135" s="13"/>
    </row>
    <row r="1136" ht="12.75">
      <c r="F1136" s="13"/>
    </row>
    <row r="1137" ht="12.75">
      <c r="F1137" s="13"/>
    </row>
    <row r="1138" ht="12.75">
      <c r="F1138" s="13"/>
    </row>
    <row r="1139" ht="12.75">
      <c r="F1139" s="13"/>
    </row>
    <row r="1140" ht="12.75">
      <c r="F1140" s="13"/>
    </row>
    <row r="1141" ht="12.75">
      <c r="F1141" s="13"/>
    </row>
    <row r="1142" ht="12.75">
      <c r="F1142" s="13"/>
    </row>
    <row r="1143" ht="12.75">
      <c r="F1143" s="13"/>
    </row>
    <row r="1144" ht="12.75">
      <c r="F1144" s="13"/>
    </row>
    <row r="1145" ht="12.75">
      <c r="F1145" s="13"/>
    </row>
    <row r="1146" ht="12.75">
      <c r="F1146" s="13"/>
    </row>
    <row r="1147" ht="12.75">
      <c r="F1147" s="13"/>
    </row>
    <row r="1148" ht="12.75">
      <c r="F1148" s="13"/>
    </row>
    <row r="1149" ht="12.75">
      <c r="F1149" s="13"/>
    </row>
    <row r="1150" ht="12.75">
      <c r="F1150" s="13"/>
    </row>
    <row r="1151" ht="12.75">
      <c r="F1151" s="13"/>
    </row>
    <row r="1152" ht="12.75">
      <c r="F1152" s="13"/>
    </row>
    <row r="1153" ht="12.75">
      <c r="F1153" s="13"/>
    </row>
    <row r="1154" ht="12.75">
      <c r="F1154" s="13"/>
    </row>
    <row r="1155" ht="12.75">
      <c r="F1155" s="13"/>
    </row>
    <row r="1156" ht="12.75">
      <c r="F1156" s="13"/>
    </row>
    <row r="1157" ht="12.75">
      <c r="F1157" s="13"/>
    </row>
    <row r="1158" ht="12.75">
      <c r="F1158" s="13"/>
    </row>
    <row r="1159" ht="12.75">
      <c r="F1159" s="13"/>
    </row>
    <row r="1160" ht="12.75">
      <c r="F1160" s="13"/>
    </row>
    <row r="1161" ht="12.75">
      <c r="F1161" s="13"/>
    </row>
    <row r="1162" ht="12.75">
      <c r="F1162" s="13"/>
    </row>
    <row r="1163" ht="12.75">
      <c r="F1163" s="13"/>
    </row>
    <row r="1164" ht="12.75">
      <c r="F1164" s="13"/>
    </row>
    <row r="1165" ht="12.75">
      <c r="F1165" s="13"/>
    </row>
    <row r="1166" ht="12.75">
      <c r="F1166" s="13"/>
    </row>
    <row r="1167" ht="12.75">
      <c r="F1167" s="13"/>
    </row>
    <row r="1168" ht="12.75">
      <c r="F1168" s="13"/>
    </row>
    <row r="1169" ht="12.75">
      <c r="F1169" s="13"/>
    </row>
    <row r="1170" ht="12.75">
      <c r="F1170" s="13"/>
    </row>
    <row r="1171" ht="12.75">
      <c r="F1171" s="13"/>
    </row>
    <row r="1172" ht="12.75">
      <c r="F1172" s="13"/>
    </row>
    <row r="1173" ht="12.75">
      <c r="F1173" s="13"/>
    </row>
    <row r="1174" ht="12.75">
      <c r="F1174" s="13"/>
    </row>
    <row r="1175" ht="12.75">
      <c r="F1175" s="13"/>
    </row>
    <row r="1176" ht="12.75">
      <c r="F1176" s="13"/>
    </row>
    <row r="1177" ht="12.75">
      <c r="F1177" s="13"/>
    </row>
    <row r="1178" ht="12.75">
      <c r="F1178" s="13"/>
    </row>
    <row r="1179" ht="12.75">
      <c r="F1179" s="13"/>
    </row>
    <row r="1180" ht="12.75">
      <c r="F1180" s="13"/>
    </row>
    <row r="1181" ht="12.75">
      <c r="F1181" s="13"/>
    </row>
    <row r="1182" ht="12.75">
      <c r="F1182" s="13"/>
    </row>
    <row r="1183" ht="12.75">
      <c r="F1183" s="13"/>
    </row>
    <row r="1184" ht="12.75">
      <c r="F1184" s="13"/>
    </row>
    <row r="1185" ht="12.75">
      <c r="F1185" s="13"/>
    </row>
    <row r="1186" ht="12.75">
      <c r="F1186" s="13"/>
    </row>
    <row r="1187" ht="12.75">
      <c r="F1187" s="13"/>
    </row>
    <row r="1188" ht="12.75">
      <c r="F1188" s="13"/>
    </row>
    <row r="1189" ht="12.75">
      <c r="F1189" s="13"/>
    </row>
    <row r="1190" ht="12.75">
      <c r="F1190" s="13"/>
    </row>
    <row r="1191" ht="12.75">
      <c r="F1191" s="13"/>
    </row>
    <row r="1192" ht="12.75">
      <c r="F1192" s="13"/>
    </row>
    <row r="1193" ht="12.75">
      <c r="F1193" s="13"/>
    </row>
    <row r="1194" ht="12.75">
      <c r="F1194" s="13"/>
    </row>
    <row r="1195" ht="12.75">
      <c r="F1195" s="13"/>
    </row>
    <row r="1196" ht="12.75">
      <c r="F1196" s="13"/>
    </row>
    <row r="1197" ht="12.75">
      <c r="F1197" s="13"/>
    </row>
    <row r="1198" ht="12.75">
      <c r="F1198" s="13"/>
    </row>
    <row r="1199" ht="12.75">
      <c r="F1199" s="13"/>
    </row>
    <row r="1200" ht="12.75">
      <c r="F1200" s="13"/>
    </row>
    <row r="1201" ht="12.75">
      <c r="F1201" s="13"/>
    </row>
    <row r="1202" ht="12.75">
      <c r="F1202" s="13"/>
    </row>
    <row r="1203" ht="12.75">
      <c r="F1203" s="13"/>
    </row>
    <row r="1204" ht="12.75">
      <c r="F1204" s="13"/>
    </row>
    <row r="1205" ht="12.75">
      <c r="F1205" s="13"/>
    </row>
    <row r="1206" ht="12.75">
      <c r="F1206" s="13"/>
    </row>
    <row r="1207" ht="12.75">
      <c r="F1207" s="13"/>
    </row>
    <row r="1208" ht="12.75">
      <c r="F1208" s="13"/>
    </row>
    <row r="1209" ht="12.75">
      <c r="F1209" s="13"/>
    </row>
    <row r="1210" ht="12.75">
      <c r="F1210" s="13"/>
    </row>
    <row r="1211" ht="12.75">
      <c r="F1211" s="13"/>
    </row>
    <row r="1212" ht="12.75">
      <c r="F1212" s="13"/>
    </row>
    <row r="1213" ht="12.75">
      <c r="F1213" s="13"/>
    </row>
    <row r="1214" ht="12.75">
      <c r="F1214" s="13"/>
    </row>
    <row r="1215" ht="12.75">
      <c r="F1215" s="13"/>
    </row>
    <row r="1216" ht="12.75">
      <c r="F1216" s="13"/>
    </row>
    <row r="1217" ht="12.75">
      <c r="F1217" s="13"/>
    </row>
    <row r="1218" ht="12.75">
      <c r="F1218" s="13"/>
    </row>
    <row r="1219" ht="12.75">
      <c r="F1219" s="13"/>
    </row>
    <row r="1220" ht="12.75">
      <c r="F1220" s="13"/>
    </row>
    <row r="1221" ht="12.75">
      <c r="F1221" s="13"/>
    </row>
    <row r="1222" ht="12.75">
      <c r="F1222" s="13"/>
    </row>
    <row r="1223" ht="12.75">
      <c r="F1223" s="13"/>
    </row>
    <row r="1224" ht="12.75">
      <c r="F1224" s="13"/>
    </row>
    <row r="1225" ht="12.75">
      <c r="F1225" s="13"/>
    </row>
    <row r="1226" ht="12.75">
      <c r="F1226" s="13"/>
    </row>
    <row r="1227" ht="12.75">
      <c r="F1227" s="13"/>
    </row>
    <row r="1228" ht="12.75">
      <c r="F1228" s="13"/>
    </row>
    <row r="1229" ht="12.75">
      <c r="F1229" s="13"/>
    </row>
    <row r="1230" ht="12.75">
      <c r="F1230" s="13"/>
    </row>
    <row r="1231" ht="12.75">
      <c r="F1231" s="13"/>
    </row>
    <row r="1232" ht="12.75">
      <c r="F1232" s="13"/>
    </row>
    <row r="1233" ht="12.75">
      <c r="F1233" s="13"/>
    </row>
    <row r="1234" ht="12.75">
      <c r="F1234" s="13"/>
    </row>
    <row r="1235" ht="12.75">
      <c r="F1235" s="13"/>
    </row>
    <row r="1236" ht="12.75">
      <c r="F1236" s="13"/>
    </row>
    <row r="1237" ht="12.75">
      <c r="F1237" s="13"/>
    </row>
    <row r="1238" ht="12.75">
      <c r="F1238" s="13"/>
    </row>
    <row r="1239" ht="12.75">
      <c r="F1239" s="13"/>
    </row>
    <row r="1240" ht="12.75">
      <c r="F1240" s="13"/>
    </row>
    <row r="1241" ht="12.75">
      <c r="F1241" s="13"/>
    </row>
    <row r="1242" ht="12.75">
      <c r="F1242" s="13"/>
    </row>
    <row r="1243" ht="12.75">
      <c r="F1243" s="13"/>
    </row>
    <row r="1244" ht="12.75">
      <c r="F1244" s="13"/>
    </row>
    <row r="1245" ht="12.75">
      <c r="F1245" s="13"/>
    </row>
    <row r="1246" ht="12.75">
      <c r="F1246" s="13"/>
    </row>
    <row r="1247" ht="12.75">
      <c r="F1247" s="13"/>
    </row>
    <row r="1248" ht="12.75">
      <c r="F1248" s="13"/>
    </row>
    <row r="1249" ht="12.75">
      <c r="F1249" s="13"/>
    </row>
    <row r="1250" ht="12.75">
      <c r="F1250" s="13"/>
    </row>
    <row r="1251" ht="12.75">
      <c r="F1251" s="13"/>
    </row>
    <row r="1252" ht="12.75">
      <c r="F1252" s="13"/>
    </row>
    <row r="1253" ht="12.75">
      <c r="F1253" s="13"/>
    </row>
    <row r="1254" ht="12.75">
      <c r="F1254" s="13"/>
    </row>
    <row r="1255" ht="12.75">
      <c r="F1255" s="13"/>
    </row>
    <row r="1256" ht="12.75">
      <c r="F1256" s="13"/>
    </row>
    <row r="1257" ht="12.75">
      <c r="F1257" s="13"/>
    </row>
    <row r="1258" ht="12.75">
      <c r="F1258" s="13"/>
    </row>
    <row r="1259" ht="12.75">
      <c r="F1259" s="13"/>
    </row>
    <row r="1260" ht="12.75">
      <c r="F1260" s="13"/>
    </row>
    <row r="1261" ht="12.75">
      <c r="F1261" s="13"/>
    </row>
    <row r="1262" ht="12.75">
      <c r="F1262" s="13"/>
    </row>
    <row r="1263" ht="12.75">
      <c r="F1263" s="13"/>
    </row>
    <row r="1264" ht="12.75">
      <c r="F1264" s="13"/>
    </row>
    <row r="1265" ht="12.75">
      <c r="F1265" s="13"/>
    </row>
    <row r="1266" ht="12.75">
      <c r="F1266" s="13"/>
    </row>
    <row r="1267" ht="12.75">
      <c r="F1267" s="13"/>
    </row>
    <row r="1268" ht="12.75">
      <c r="F1268" s="13"/>
    </row>
    <row r="1269" ht="12.75">
      <c r="F1269" s="13"/>
    </row>
    <row r="1270" ht="12.75">
      <c r="F1270" s="13"/>
    </row>
    <row r="1271" ht="12.75">
      <c r="F1271" s="13"/>
    </row>
    <row r="1272" ht="12.75">
      <c r="F1272" s="13"/>
    </row>
    <row r="1273" ht="12.75">
      <c r="F1273" s="13"/>
    </row>
    <row r="1274" ht="12.75">
      <c r="F1274" s="13"/>
    </row>
    <row r="1275" ht="12.75">
      <c r="F1275" s="13"/>
    </row>
    <row r="1276" ht="12.75">
      <c r="F1276" s="13"/>
    </row>
    <row r="1277" ht="12.75">
      <c r="F1277" s="13"/>
    </row>
    <row r="1278" ht="12.75">
      <c r="F1278" s="13"/>
    </row>
    <row r="1279" ht="12.75">
      <c r="F1279" s="13"/>
    </row>
    <row r="1280" ht="12.75">
      <c r="F1280" s="13"/>
    </row>
    <row r="1281" ht="12.75">
      <c r="F1281" s="13"/>
    </row>
    <row r="1282" ht="12.75">
      <c r="F1282" s="13"/>
    </row>
    <row r="1283" ht="12.75">
      <c r="F1283" s="13"/>
    </row>
    <row r="1284" ht="12.75">
      <c r="F1284" s="13"/>
    </row>
    <row r="1285" ht="12.75">
      <c r="F1285" s="13"/>
    </row>
    <row r="1286" ht="12.75">
      <c r="F1286" s="13"/>
    </row>
    <row r="1287" ht="12.75">
      <c r="F1287" s="13"/>
    </row>
    <row r="1288" ht="12.75">
      <c r="F1288" s="13"/>
    </row>
    <row r="1289" ht="12.75">
      <c r="F1289" s="13"/>
    </row>
    <row r="1290" ht="12.75">
      <c r="F1290" s="13"/>
    </row>
    <row r="1291" ht="12.75">
      <c r="F1291" s="13"/>
    </row>
    <row r="1292" ht="12.75">
      <c r="F1292" s="13"/>
    </row>
    <row r="1293" ht="12.75">
      <c r="F1293" s="13"/>
    </row>
    <row r="1294" ht="12.75">
      <c r="F1294" s="13"/>
    </row>
    <row r="1295" ht="12.75">
      <c r="F1295" s="13"/>
    </row>
    <row r="1296" ht="12.75">
      <c r="F1296" s="13"/>
    </row>
    <row r="1297" ht="12.75">
      <c r="F1297" s="13"/>
    </row>
    <row r="1298" ht="12.75">
      <c r="F1298" s="13"/>
    </row>
    <row r="1299" ht="12.75">
      <c r="F1299" s="13"/>
    </row>
    <row r="1300" ht="12.75">
      <c r="F1300" s="13"/>
    </row>
    <row r="1301" ht="12.75">
      <c r="F1301" s="13"/>
    </row>
    <row r="1302" ht="12.75">
      <c r="F1302" s="13"/>
    </row>
    <row r="1303" ht="12.75">
      <c r="F1303" s="13"/>
    </row>
    <row r="1304" ht="12.75">
      <c r="F1304" s="13"/>
    </row>
    <row r="1305" ht="12.75">
      <c r="F1305" s="13"/>
    </row>
    <row r="1306" ht="12.75">
      <c r="F1306" s="13"/>
    </row>
    <row r="1307" ht="12.75">
      <c r="F1307" s="13"/>
    </row>
    <row r="1308" ht="12.75">
      <c r="F1308" s="13"/>
    </row>
    <row r="1309" ht="12.75">
      <c r="F1309" s="13"/>
    </row>
    <row r="1310" ht="12.75">
      <c r="F1310" s="13"/>
    </row>
    <row r="1311" ht="12.75">
      <c r="F1311" s="13"/>
    </row>
    <row r="1312" ht="12.75">
      <c r="F1312" s="13"/>
    </row>
    <row r="1313" ht="12.75">
      <c r="F1313" s="13"/>
    </row>
    <row r="1314" ht="12.75">
      <c r="F1314" s="13"/>
    </row>
    <row r="1315" ht="12.75">
      <c r="F1315" s="13"/>
    </row>
    <row r="1316" ht="12.75">
      <c r="F1316" s="13"/>
    </row>
    <row r="1317" ht="12.75">
      <c r="F1317" s="13"/>
    </row>
    <row r="1318" ht="12.75">
      <c r="F1318" s="13"/>
    </row>
    <row r="1319" ht="12.75">
      <c r="F1319" s="13"/>
    </row>
    <row r="1320" ht="12.75">
      <c r="F1320" s="13"/>
    </row>
    <row r="1321" ht="12.75">
      <c r="F1321" s="13"/>
    </row>
    <row r="1322" ht="12.75">
      <c r="F1322" s="13"/>
    </row>
    <row r="1323" ht="12.75">
      <c r="F1323" s="13"/>
    </row>
    <row r="1324" ht="12.75">
      <c r="F1324" s="13"/>
    </row>
    <row r="1325" ht="12.75">
      <c r="F1325" s="13"/>
    </row>
    <row r="1326" ht="12.75">
      <c r="F1326" s="13"/>
    </row>
    <row r="1327" ht="12.75">
      <c r="F1327" s="13"/>
    </row>
    <row r="1328" ht="12.75">
      <c r="F1328" s="13"/>
    </row>
    <row r="1329" ht="12.75">
      <c r="F1329" s="13"/>
    </row>
    <row r="1330" ht="12.75">
      <c r="F1330" s="13"/>
    </row>
    <row r="1331" ht="12.75">
      <c r="F1331" s="13"/>
    </row>
    <row r="1332" ht="12.75">
      <c r="F1332" s="13"/>
    </row>
    <row r="1333" ht="12.75">
      <c r="F1333" s="13"/>
    </row>
    <row r="1334" ht="12.75">
      <c r="F1334" s="13"/>
    </row>
    <row r="1335" ht="12.75">
      <c r="F1335" s="13"/>
    </row>
    <row r="1336" ht="12.75">
      <c r="F1336" s="13"/>
    </row>
    <row r="1337" ht="12.75">
      <c r="F1337" s="13"/>
    </row>
    <row r="1338" ht="12.75">
      <c r="F1338" s="13"/>
    </row>
    <row r="1339" ht="12.75">
      <c r="F1339" s="13"/>
    </row>
    <row r="1340" ht="12.75">
      <c r="F1340" s="13"/>
    </row>
    <row r="1341" ht="12.75">
      <c r="F1341" s="13"/>
    </row>
    <row r="1342" ht="12.75">
      <c r="F1342" s="13"/>
    </row>
    <row r="1343" ht="12.75">
      <c r="F1343" s="13"/>
    </row>
    <row r="1344" ht="12.75">
      <c r="F1344" s="13"/>
    </row>
    <row r="1345" ht="12.75">
      <c r="F1345" s="13"/>
    </row>
    <row r="1346" ht="12.75">
      <c r="F1346" s="13"/>
    </row>
    <row r="1347" ht="12.75">
      <c r="F1347" s="13"/>
    </row>
    <row r="1348" ht="12.75">
      <c r="F1348" s="13"/>
    </row>
    <row r="1349" ht="12.75">
      <c r="F1349" s="13"/>
    </row>
    <row r="1350" ht="12.75">
      <c r="F1350" s="13"/>
    </row>
    <row r="1351" ht="12.75">
      <c r="F1351" s="13"/>
    </row>
    <row r="1352" ht="12.75">
      <c r="F1352" s="13"/>
    </row>
    <row r="1353" ht="12.75">
      <c r="F1353" s="13"/>
    </row>
    <row r="1354" ht="12.75">
      <c r="F1354" s="13"/>
    </row>
    <row r="1355" ht="12.75">
      <c r="F1355" s="13"/>
    </row>
    <row r="1356" ht="12.75">
      <c r="F1356" s="13"/>
    </row>
    <row r="1357" ht="12.75">
      <c r="F1357" s="13"/>
    </row>
    <row r="1358" ht="12.75">
      <c r="F1358" s="13"/>
    </row>
    <row r="1359" ht="12.75">
      <c r="F1359" s="13"/>
    </row>
    <row r="1360" ht="12.75">
      <c r="F1360" s="13"/>
    </row>
    <row r="1361" ht="12.75">
      <c r="F1361" s="13"/>
    </row>
    <row r="1362" ht="12.75">
      <c r="F1362" s="13"/>
    </row>
    <row r="1363" ht="12.75">
      <c r="F1363" s="13"/>
    </row>
    <row r="1364" ht="12.75">
      <c r="F1364" s="13"/>
    </row>
    <row r="1365" ht="12.75">
      <c r="F1365" s="13"/>
    </row>
    <row r="1366" ht="12.75">
      <c r="F1366" s="13"/>
    </row>
    <row r="1367" ht="12.75">
      <c r="F1367" s="13"/>
    </row>
    <row r="1368" ht="12.75">
      <c r="F1368" s="13"/>
    </row>
    <row r="1369" ht="12.75">
      <c r="F1369" s="13"/>
    </row>
    <row r="1370" ht="12.75">
      <c r="F1370" s="13"/>
    </row>
    <row r="1371" ht="12.75">
      <c r="F1371" s="13"/>
    </row>
    <row r="1372" ht="12.75">
      <c r="F1372" s="13"/>
    </row>
    <row r="1373" ht="12.75">
      <c r="F1373" s="13"/>
    </row>
    <row r="1374" ht="12.75">
      <c r="F1374" s="13"/>
    </row>
    <row r="1375" ht="12.75">
      <c r="F1375" s="13"/>
    </row>
    <row r="1376" ht="12.75">
      <c r="F1376" s="13"/>
    </row>
    <row r="1377" ht="12.75">
      <c r="F1377" s="13"/>
    </row>
    <row r="1378" ht="12.75">
      <c r="F1378" s="13"/>
    </row>
    <row r="1379" ht="12.75">
      <c r="F1379" s="13"/>
    </row>
    <row r="1380" ht="12.75">
      <c r="F1380" s="13"/>
    </row>
    <row r="1381" ht="12.75">
      <c r="F1381" s="13"/>
    </row>
    <row r="1382" ht="12.75">
      <c r="F1382" s="13"/>
    </row>
    <row r="1383" ht="12.75">
      <c r="F1383" s="13"/>
    </row>
    <row r="1384" ht="12.75">
      <c r="F1384" s="13"/>
    </row>
    <row r="1385" ht="12.75">
      <c r="F1385" s="13"/>
    </row>
    <row r="1386" ht="12.75">
      <c r="F1386" s="13"/>
    </row>
    <row r="1387" ht="12.75">
      <c r="F1387" s="13"/>
    </row>
    <row r="1388" ht="12.75">
      <c r="F1388" s="13"/>
    </row>
    <row r="1389" ht="12.75">
      <c r="F1389" s="13"/>
    </row>
    <row r="1390" ht="12.75">
      <c r="F1390" s="13"/>
    </row>
    <row r="1391" ht="12.75">
      <c r="F1391" s="13"/>
    </row>
    <row r="1392" ht="12.75">
      <c r="F1392" s="13"/>
    </row>
    <row r="1393" ht="12.75">
      <c r="F1393" s="13"/>
    </row>
    <row r="1394" ht="12.75">
      <c r="F1394" s="13"/>
    </row>
    <row r="1395" ht="12.75">
      <c r="F1395" s="13"/>
    </row>
    <row r="1396" ht="12.75">
      <c r="F1396" s="13"/>
    </row>
    <row r="1397" ht="12.75">
      <c r="F1397" s="13"/>
    </row>
    <row r="1398" ht="12.75">
      <c r="F1398" s="13"/>
    </row>
    <row r="1399" ht="12.75">
      <c r="F1399" s="13"/>
    </row>
    <row r="1400" ht="12.75">
      <c r="F1400" s="13"/>
    </row>
    <row r="1401" ht="12.75">
      <c r="F1401" s="13"/>
    </row>
    <row r="1402" ht="12.75">
      <c r="F1402" s="13"/>
    </row>
    <row r="1403" ht="12.75">
      <c r="F1403" s="13"/>
    </row>
    <row r="1404" ht="12.75">
      <c r="F1404" s="13"/>
    </row>
    <row r="1405" ht="12.75">
      <c r="F1405" s="13"/>
    </row>
    <row r="1406" ht="12.75">
      <c r="F1406" s="13"/>
    </row>
    <row r="1407" ht="12.75">
      <c r="F1407" s="13"/>
    </row>
    <row r="1408" ht="12.75">
      <c r="F1408" s="13"/>
    </row>
    <row r="1409" ht="12.75">
      <c r="F1409" s="13"/>
    </row>
    <row r="1410" ht="12.75">
      <c r="F1410" s="13"/>
    </row>
    <row r="1411" ht="12.75">
      <c r="F1411" s="13"/>
    </row>
    <row r="1412" ht="12.75">
      <c r="F1412" s="13"/>
    </row>
    <row r="1413" ht="12.75">
      <c r="F1413" s="13"/>
    </row>
    <row r="1414" ht="12.75">
      <c r="F1414" s="13"/>
    </row>
    <row r="1415" ht="12.75">
      <c r="F1415" s="13"/>
    </row>
    <row r="1416" ht="12.75">
      <c r="F1416" s="13"/>
    </row>
    <row r="1417" ht="12.75">
      <c r="F1417" s="13"/>
    </row>
    <row r="1418" ht="12.75">
      <c r="F1418" s="13"/>
    </row>
    <row r="1419" ht="12.75">
      <c r="F1419" s="13"/>
    </row>
    <row r="1420" ht="12.75">
      <c r="F1420" s="13"/>
    </row>
    <row r="1421" ht="12.75">
      <c r="F1421" s="13"/>
    </row>
    <row r="1422" ht="12.75">
      <c r="F1422" s="13"/>
    </row>
    <row r="1423" ht="12.75">
      <c r="F1423" s="13"/>
    </row>
    <row r="1424" ht="12.75">
      <c r="F1424" s="13"/>
    </row>
    <row r="1425" ht="12.75">
      <c r="F1425" s="13"/>
    </row>
    <row r="1426" ht="12.75">
      <c r="F1426" s="13"/>
    </row>
    <row r="1427" ht="12.75">
      <c r="F1427" s="13"/>
    </row>
    <row r="1428" ht="12.75">
      <c r="F1428" s="13"/>
    </row>
    <row r="1429" ht="12.75">
      <c r="F1429" s="13"/>
    </row>
    <row r="1430" ht="12.75">
      <c r="F1430" s="13"/>
    </row>
    <row r="1431" ht="12.75">
      <c r="F1431" s="13"/>
    </row>
    <row r="1432" ht="12.75">
      <c r="F1432" s="13"/>
    </row>
    <row r="1433" ht="12.75">
      <c r="F1433" s="13"/>
    </row>
    <row r="1434" ht="12.75">
      <c r="F1434" s="13"/>
    </row>
    <row r="1435" ht="12.75">
      <c r="F1435" s="13"/>
    </row>
    <row r="1436" ht="12.75">
      <c r="F1436" s="13"/>
    </row>
    <row r="1437" ht="12.75">
      <c r="F1437" s="13"/>
    </row>
    <row r="1438" ht="12.75">
      <c r="F1438" s="13"/>
    </row>
    <row r="1439" ht="12.75">
      <c r="F1439" s="13"/>
    </row>
    <row r="1440" ht="12.75">
      <c r="F1440" s="13"/>
    </row>
    <row r="1441" ht="12.75">
      <c r="F1441" s="13"/>
    </row>
    <row r="1442" ht="12.75">
      <c r="F1442" s="13"/>
    </row>
    <row r="1443" ht="12.75">
      <c r="F1443" s="13"/>
    </row>
    <row r="1444" ht="12.75">
      <c r="F1444" s="13"/>
    </row>
    <row r="1445" ht="12.75">
      <c r="F1445" s="13"/>
    </row>
    <row r="1446" ht="12.75">
      <c r="F1446" s="13"/>
    </row>
    <row r="1447" ht="12.75">
      <c r="F1447" s="13"/>
    </row>
    <row r="1448" ht="12.75">
      <c r="F1448" s="13"/>
    </row>
    <row r="1449" ht="12.75">
      <c r="F1449" s="13"/>
    </row>
    <row r="1450" ht="12.75">
      <c r="F1450" s="13"/>
    </row>
    <row r="1451" ht="12.75">
      <c r="F1451" s="13"/>
    </row>
    <row r="1452" ht="12.75">
      <c r="F1452" s="13"/>
    </row>
    <row r="1453" ht="12.75">
      <c r="F1453" s="13"/>
    </row>
    <row r="1454" ht="12.75">
      <c r="F1454" s="13"/>
    </row>
    <row r="1455" ht="12.75">
      <c r="F1455" s="13"/>
    </row>
    <row r="1456" ht="12.75">
      <c r="F1456" s="13"/>
    </row>
    <row r="1457" ht="12.75">
      <c r="F1457" s="13"/>
    </row>
    <row r="1458" ht="12.75">
      <c r="F1458" s="13"/>
    </row>
    <row r="1459" ht="12.75">
      <c r="F1459" s="13"/>
    </row>
    <row r="1460" ht="12.75">
      <c r="F1460" s="13"/>
    </row>
    <row r="1461" ht="12.75">
      <c r="F1461" s="13"/>
    </row>
    <row r="1462" ht="12.75">
      <c r="F1462" s="13"/>
    </row>
    <row r="1463" ht="12.75">
      <c r="F1463" s="13"/>
    </row>
    <row r="1464" ht="12.75">
      <c r="F1464" s="13"/>
    </row>
    <row r="1465" ht="12.75">
      <c r="F1465" s="13"/>
    </row>
    <row r="1466" ht="12.75">
      <c r="F1466" s="13"/>
    </row>
    <row r="1467" ht="12.75">
      <c r="F1467" s="13"/>
    </row>
    <row r="1468" ht="12.75">
      <c r="F1468" s="13"/>
    </row>
    <row r="1469" ht="12.75">
      <c r="F1469" s="13"/>
    </row>
    <row r="1470" ht="12.75">
      <c r="F1470" s="13"/>
    </row>
    <row r="1471" ht="12.75">
      <c r="F1471" s="13"/>
    </row>
    <row r="1472" ht="12.75">
      <c r="F1472" s="13"/>
    </row>
    <row r="1473" ht="12.75">
      <c r="F1473" s="13"/>
    </row>
    <row r="1474" ht="12.75">
      <c r="F1474" s="13"/>
    </row>
    <row r="1475" ht="12.75">
      <c r="F1475" s="13"/>
    </row>
    <row r="1476" ht="12.75">
      <c r="F1476" s="13"/>
    </row>
    <row r="1477" ht="12.75">
      <c r="F1477" s="13"/>
    </row>
    <row r="1478" ht="12.75">
      <c r="F1478" s="13"/>
    </row>
    <row r="1479" ht="12.75">
      <c r="F1479" s="13"/>
    </row>
    <row r="1480" ht="12.75">
      <c r="F1480" s="13"/>
    </row>
    <row r="1481" ht="12.75">
      <c r="F1481" s="13"/>
    </row>
    <row r="1482" ht="12.75">
      <c r="F1482" s="13"/>
    </row>
    <row r="1483" ht="12.75">
      <c r="F1483" s="13"/>
    </row>
    <row r="1484" ht="12.75">
      <c r="F1484" s="13"/>
    </row>
    <row r="1485" ht="12.75">
      <c r="F1485" s="13"/>
    </row>
    <row r="1486" ht="12.75">
      <c r="F1486" s="13"/>
    </row>
    <row r="1487" ht="12.75">
      <c r="F1487" s="13"/>
    </row>
    <row r="1488" ht="12.75">
      <c r="F1488" s="13"/>
    </row>
    <row r="1489" ht="12.75">
      <c r="F1489" s="13"/>
    </row>
    <row r="1490" ht="12.75">
      <c r="F1490" s="13"/>
    </row>
    <row r="1491" ht="12.75">
      <c r="F1491" s="13"/>
    </row>
    <row r="1492" ht="12.75">
      <c r="F1492" s="13"/>
    </row>
    <row r="1493" ht="12.75">
      <c r="F1493" s="13"/>
    </row>
    <row r="1494" ht="12.75">
      <c r="F1494" s="13"/>
    </row>
    <row r="1495" ht="12.75">
      <c r="F1495" s="13"/>
    </row>
    <row r="1496" ht="12.75">
      <c r="F1496" s="13"/>
    </row>
    <row r="1497" ht="12.75">
      <c r="F1497" s="13"/>
    </row>
    <row r="1498" ht="12.75">
      <c r="F1498" s="13"/>
    </row>
    <row r="1499" ht="12.75">
      <c r="F1499" s="13"/>
    </row>
    <row r="1500" ht="12.75">
      <c r="F1500" s="13"/>
    </row>
    <row r="1501" ht="12.75">
      <c r="F1501" s="13"/>
    </row>
    <row r="1502" ht="12.75">
      <c r="F1502" s="13"/>
    </row>
    <row r="1503" ht="12.75">
      <c r="F1503" s="13"/>
    </row>
    <row r="1504" ht="12.75">
      <c r="F1504" s="13"/>
    </row>
    <row r="1505" ht="12.75">
      <c r="F1505" s="13"/>
    </row>
    <row r="1506" ht="12.75">
      <c r="F1506" s="13"/>
    </row>
    <row r="1507" ht="12.75">
      <c r="F1507" s="13"/>
    </row>
    <row r="1508" ht="12.75">
      <c r="F1508" s="13"/>
    </row>
    <row r="1509" ht="12.75">
      <c r="F1509" s="13"/>
    </row>
    <row r="1510" ht="12.75">
      <c r="F1510" s="13"/>
    </row>
    <row r="1511" ht="12.75">
      <c r="F1511" s="13"/>
    </row>
    <row r="1512" ht="12.75">
      <c r="F1512" s="13"/>
    </row>
    <row r="1513" ht="12.75">
      <c r="F1513" s="13"/>
    </row>
    <row r="1514" ht="12.75">
      <c r="F1514" s="13"/>
    </row>
    <row r="1515" ht="12.75">
      <c r="F1515" s="13"/>
    </row>
    <row r="1516" ht="12.75">
      <c r="F1516" s="13"/>
    </row>
    <row r="1517" ht="12.75">
      <c r="F1517" s="13"/>
    </row>
    <row r="1518" ht="12.75">
      <c r="F1518" s="13"/>
    </row>
    <row r="1519" ht="12.75">
      <c r="F1519" s="13"/>
    </row>
    <row r="1520" ht="12.75">
      <c r="F1520" s="13"/>
    </row>
    <row r="1521" ht="12.75">
      <c r="F1521" s="13"/>
    </row>
    <row r="1522" ht="12.75">
      <c r="F1522" s="13"/>
    </row>
    <row r="1523" ht="12.75">
      <c r="F1523" s="13"/>
    </row>
    <row r="1524" ht="12.75">
      <c r="F1524" s="13"/>
    </row>
    <row r="1525" ht="12.75">
      <c r="F1525" s="13"/>
    </row>
    <row r="1526" ht="12.75">
      <c r="F1526" s="13"/>
    </row>
    <row r="1527" ht="12.75">
      <c r="F1527" s="13"/>
    </row>
    <row r="1528" ht="12.75">
      <c r="F1528" s="13"/>
    </row>
    <row r="1529" ht="12.75">
      <c r="F1529" s="13"/>
    </row>
    <row r="1530" ht="12.75">
      <c r="F1530" s="13"/>
    </row>
    <row r="1531" ht="12.75">
      <c r="F1531" s="13"/>
    </row>
    <row r="1532" ht="12.75">
      <c r="F1532" s="13"/>
    </row>
    <row r="1533" ht="12.75">
      <c r="F1533" s="13"/>
    </row>
    <row r="1534" ht="12.75">
      <c r="F1534" s="13"/>
    </row>
    <row r="1535" ht="12.75">
      <c r="F1535" s="13"/>
    </row>
    <row r="1536" ht="12.75">
      <c r="F1536" s="13"/>
    </row>
    <row r="1537" ht="12.75">
      <c r="F1537" s="13"/>
    </row>
    <row r="1538" ht="12.75">
      <c r="F1538" s="13"/>
    </row>
    <row r="1539" ht="12.75">
      <c r="F1539" s="13"/>
    </row>
    <row r="1540" ht="12.75">
      <c r="F1540" s="13"/>
    </row>
    <row r="1541" ht="12.75">
      <c r="F1541" s="13"/>
    </row>
    <row r="1542" ht="12.75">
      <c r="F1542" s="13"/>
    </row>
    <row r="1543" ht="12.75">
      <c r="F1543" s="13"/>
    </row>
    <row r="1544" ht="12.75">
      <c r="F1544" s="13"/>
    </row>
    <row r="1545" ht="12.75">
      <c r="F1545" s="13"/>
    </row>
    <row r="1546" ht="12.75">
      <c r="F1546" s="13"/>
    </row>
    <row r="1547" ht="12.75">
      <c r="F1547" s="13"/>
    </row>
    <row r="1548" ht="12.75">
      <c r="F1548" s="13"/>
    </row>
    <row r="1549" ht="12.75">
      <c r="F1549" s="13"/>
    </row>
    <row r="1550" ht="12.75">
      <c r="F1550" s="13"/>
    </row>
    <row r="1551" ht="12.75">
      <c r="F1551" s="13"/>
    </row>
    <row r="1552" ht="12.75">
      <c r="F1552" s="13"/>
    </row>
    <row r="1553" ht="12.75">
      <c r="F1553" s="13"/>
    </row>
    <row r="1554" ht="12.75">
      <c r="F1554" s="13"/>
    </row>
    <row r="1555" ht="12.75">
      <c r="F1555" s="13"/>
    </row>
    <row r="1556" ht="12.75">
      <c r="F1556" s="13"/>
    </row>
    <row r="1557" ht="12.75">
      <c r="F1557" s="13"/>
    </row>
    <row r="1558" ht="12.75">
      <c r="F1558" s="13"/>
    </row>
    <row r="1559" ht="12.75">
      <c r="F1559" s="13"/>
    </row>
    <row r="1560" ht="12.75">
      <c r="F1560" s="13"/>
    </row>
    <row r="1561" ht="12.75">
      <c r="F1561" s="13"/>
    </row>
    <row r="1562" ht="12.75">
      <c r="F1562" s="13"/>
    </row>
    <row r="1563" ht="12.75">
      <c r="F1563" s="13"/>
    </row>
    <row r="1564" ht="12.75">
      <c r="F1564" s="13"/>
    </row>
    <row r="1565" ht="12.75">
      <c r="F1565" s="13"/>
    </row>
    <row r="1566" ht="12.75">
      <c r="F1566" s="13"/>
    </row>
    <row r="1567" ht="12.75">
      <c r="F1567" s="13"/>
    </row>
    <row r="1568" ht="12.75">
      <c r="F1568" s="13"/>
    </row>
    <row r="1569" ht="12.75">
      <c r="F1569" s="13"/>
    </row>
    <row r="1570" ht="12.75">
      <c r="F1570" s="13"/>
    </row>
    <row r="1571" ht="12.75">
      <c r="F1571" s="13"/>
    </row>
    <row r="1572" ht="12.75">
      <c r="F1572" s="13"/>
    </row>
    <row r="1573" ht="12.75">
      <c r="F1573" s="13"/>
    </row>
    <row r="1574" ht="12.75">
      <c r="F1574" s="13"/>
    </row>
    <row r="1575" ht="12.75">
      <c r="F1575" s="13"/>
    </row>
    <row r="1576" ht="12.75">
      <c r="F1576" s="13"/>
    </row>
    <row r="1577" ht="12.75">
      <c r="F1577" s="13"/>
    </row>
    <row r="1578" ht="12.75">
      <c r="F1578" s="13"/>
    </row>
    <row r="1579" ht="12.75">
      <c r="F1579" s="13"/>
    </row>
    <row r="1580" ht="12.75">
      <c r="F1580" s="13"/>
    </row>
    <row r="1581" ht="12.75">
      <c r="F1581" s="13"/>
    </row>
    <row r="1582" ht="12.75">
      <c r="F1582" s="13"/>
    </row>
    <row r="1583" ht="12.75">
      <c r="F1583" s="13"/>
    </row>
    <row r="1584" ht="12.75">
      <c r="F1584" s="13"/>
    </row>
    <row r="1585" ht="12.75">
      <c r="F1585" s="13"/>
    </row>
    <row r="1586" ht="12.75">
      <c r="F1586" s="13"/>
    </row>
    <row r="1587" ht="12.75">
      <c r="F1587" s="13"/>
    </row>
    <row r="1588" ht="12.75">
      <c r="F1588" s="13"/>
    </row>
    <row r="1589" ht="12.75">
      <c r="F1589" s="13"/>
    </row>
    <row r="1590" ht="12.75">
      <c r="F1590" s="13"/>
    </row>
    <row r="1591" ht="12.75">
      <c r="F1591" s="13"/>
    </row>
    <row r="1592" ht="12.75">
      <c r="F1592" s="13"/>
    </row>
    <row r="1593" ht="12.75">
      <c r="F1593" s="13"/>
    </row>
    <row r="1594" ht="12.75">
      <c r="F1594" s="13"/>
    </row>
    <row r="1595" ht="12.75">
      <c r="F1595" s="13"/>
    </row>
    <row r="1596" ht="12.75">
      <c r="F1596" s="13"/>
    </row>
    <row r="1597" ht="12.75">
      <c r="F1597" s="13"/>
    </row>
    <row r="1598" ht="12.75">
      <c r="F1598" s="13"/>
    </row>
    <row r="1599" ht="12.75">
      <c r="F1599" s="13"/>
    </row>
    <row r="1600" ht="12.75">
      <c r="F1600" s="13"/>
    </row>
    <row r="1601" ht="12.75">
      <c r="F1601" s="13"/>
    </row>
    <row r="1602" ht="12.75">
      <c r="F1602" s="13"/>
    </row>
    <row r="1603" ht="12.75">
      <c r="F1603" s="13"/>
    </row>
    <row r="1604" ht="12.75">
      <c r="F1604" s="13"/>
    </row>
    <row r="1605" ht="12.75">
      <c r="F1605" s="13"/>
    </row>
    <row r="1606" ht="12.75">
      <c r="F1606" s="13"/>
    </row>
    <row r="1607" ht="12.75">
      <c r="F1607" s="13"/>
    </row>
    <row r="1608" ht="12.75">
      <c r="F1608" s="13"/>
    </row>
    <row r="1609" ht="12.75">
      <c r="F1609" s="13"/>
    </row>
    <row r="1610" ht="12.75">
      <c r="F1610" s="13"/>
    </row>
    <row r="1611" ht="12.75">
      <c r="F1611" s="13"/>
    </row>
    <row r="1612" ht="12.75">
      <c r="F1612" s="13"/>
    </row>
    <row r="1613" ht="12.75">
      <c r="F1613" s="13"/>
    </row>
    <row r="1614" ht="12.75">
      <c r="F1614" s="13"/>
    </row>
    <row r="1615" ht="12.75">
      <c r="F1615" s="13"/>
    </row>
    <row r="1616" ht="12.75">
      <c r="F1616" s="13"/>
    </row>
    <row r="1617" ht="12.75">
      <c r="F1617" s="13"/>
    </row>
    <row r="1618" ht="12.75">
      <c r="F1618" s="13"/>
    </row>
    <row r="1619" ht="12.75">
      <c r="F1619" s="13"/>
    </row>
    <row r="1620" ht="12.75">
      <c r="F1620" s="13"/>
    </row>
    <row r="1621" ht="12.75">
      <c r="F1621" s="13"/>
    </row>
    <row r="1622" ht="12.75">
      <c r="F1622" s="13"/>
    </row>
    <row r="1623" ht="12.75">
      <c r="F1623" s="13"/>
    </row>
    <row r="1624" ht="12.75">
      <c r="F1624" s="13"/>
    </row>
    <row r="1625" ht="12.75">
      <c r="F1625" s="13"/>
    </row>
    <row r="1626" ht="12.75">
      <c r="F1626" s="13"/>
    </row>
    <row r="1627" ht="12.75">
      <c r="F1627" s="13"/>
    </row>
    <row r="1628" ht="12.75">
      <c r="F1628" s="13"/>
    </row>
    <row r="1629" ht="12.75">
      <c r="F1629" s="13"/>
    </row>
    <row r="1630" ht="12.75">
      <c r="F1630" s="13"/>
    </row>
    <row r="1631" ht="12.75">
      <c r="F1631" s="13"/>
    </row>
    <row r="1632" ht="12.75">
      <c r="F1632" s="13"/>
    </row>
    <row r="1633" ht="12.75">
      <c r="F1633" s="13"/>
    </row>
    <row r="1634" ht="12.75">
      <c r="F1634" s="13"/>
    </row>
    <row r="1635" ht="12.75">
      <c r="F1635" s="13"/>
    </row>
    <row r="1636" ht="12.75">
      <c r="F1636" s="13"/>
    </row>
    <row r="1637" ht="12.75">
      <c r="F1637" s="13"/>
    </row>
    <row r="1638" ht="12.75">
      <c r="F1638" s="13"/>
    </row>
    <row r="1639" ht="12.75">
      <c r="F1639" s="13"/>
    </row>
    <row r="1640" ht="12.75">
      <c r="F1640" s="13"/>
    </row>
    <row r="1641" ht="12.75">
      <c r="F1641" s="13"/>
    </row>
    <row r="1642" ht="12.75">
      <c r="F1642" s="13"/>
    </row>
    <row r="1643" ht="12.75">
      <c r="F1643" s="13"/>
    </row>
    <row r="1644" ht="12.75">
      <c r="F1644" s="13"/>
    </row>
    <row r="1645" ht="12.75">
      <c r="F1645" s="13"/>
    </row>
    <row r="1646" ht="12.75">
      <c r="F1646" s="13"/>
    </row>
    <row r="1647" ht="12.75">
      <c r="F1647" s="13"/>
    </row>
    <row r="1648" ht="12.75">
      <c r="F1648" s="13"/>
    </row>
    <row r="1649" ht="12.75">
      <c r="F1649" s="13"/>
    </row>
    <row r="1650" ht="12.75">
      <c r="F1650" s="13"/>
    </row>
    <row r="1651" ht="12.75">
      <c r="F1651" s="13"/>
    </row>
    <row r="1652" ht="12.75">
      <c r="F1652" s="13"/>
    </row>
    <row r="1653" ht="12.75">
      <c r="F1653" s="13"/>
    </row>
    <row r="1654" ht="12.75">
      <c r="F1654" s="13"/>
    </row>
    <row r="1655" ht="12.75">
      <c r="F1655" s="13"/>
    </row>
    <row r="1656" ht="12.75">
      <c r="F1656" s="13"/>
    </row>
    <row r="1657" ht="12.75">
      <c r="F1657" s="13"/>
    </row>
    <row r="1658" ht="12.75">
      <c r="F1658" s="13"/>
    </row>
    <row r="1659" ht="12.75">
      <c r="F1659" s="13"/>
    </row>
    <row r="1660" ht="12.75">
      <c r="F1660" s="13"/>
    </row>
    <row r="1661" ht="12.75">
      <c r="F1661" s="13"/>
    </row>
    <row r="1662" ht="12.75">
      <c r="F1662" s="13"/>
    </row>
    <row r="1663" ht="12.75">
      <c r="F1663" s="13"/>
    </row>
    <row r="1664" ht="12.75">
      <c r="F1664" s="13"/>
    </row>
    <row r="1665" ht="12.75">
      <c r="F1665" s="13"/>
    </row>
    <row r="1666" ht="12.75">
      <c r="F1666" s="13"/>
    </row>
    <row r="1667" ht="12.75">
      <c r="F1667" s="13"/>
    </row>
    <row r="1668" ht="12.75">
      <c r="F1668" s="13"/>
    </row>
    <row r="1669" ht="12.75">
      <c r="F1669" s="13"/>
    </row>
    <row r="1670" ht="12.75">
      <c r="F1670" s="13"/>
    </row>
    <row r="1671" ht="12.75">
      <c r="F1671" s="13"/>
    </row>
    <row r="1672" ht="12.75">
      <c r="F1672" s="13"/>
    </row>
    <row r="1673" ht="12.75">
      <c r="F1673" s="13"/>
    </row>
    <row r="1674" ht="12.75">
      <c r="F1674" s="13"/>
    </row>
    <row r="1675" ht="12.75">
      <c r="F1675" s="13"/>
    </row>
    <row r="1676" ht="12.75">
      <c r="F1676" s="13"/>
    </row>
    <row r="1677" ht="12.75">
      <c r="F1677" s="13"/>
    </row>
    <row r="1678" ht="12.75">
      <c r="F1678" s="13"/>
    </row>
    <row r="1679" ht="12.75">
      <c r="F1679" s="13"/>
    </row>
    <row r="1680" ht="12.75">
      <c r="F1680" s="13"/>
    </row>
    <row r="1681" ht="12.75">
      <c r="F1681" s="13"/>
    </row>
    <row r="1682" ht="12.75">
      <c r="F1682" s="13"/>
    </row>
    <row r="1683" ht="12.75">
      <c r="F1683" s="13"/>
    </row>
    <row r="1684" ht="12.75">
      <c r="F1684" s="13"/>
    </row>
    <row r="1685" ht="12.75">
      <c r="F1685" s="13"/>
    </row>
    <row r="1686" ht="12.75">
      <c r="F1686" s="13"/>
    </row>
    <row r="1687" ht="12.75">
      <c r="F1687" s="13"/>
    </row>
    <row r="1688" ht="12.75">
      <c r="F1688" s="13"/>
    </row>
    <row r="1689" ht="12.75">
      <c r="F1689" s="13"/>
    </row>
    <row r="1690" ht="12.75">
      <c r="F1690" s="13"/>
    </row>
    <row r="1691" ht="12.75">
      <c r="F1691" s="13"/>
    </row>
    <row r="1692" ht="12.75">
      <c r="F1692" s="13"/>
    </row>
    <row r="1693" ht="12.75">
      <c r="F1693" s="13"/>
    </row>
    <row r="1694" ht="12.75">
      <c r="F1694" s="13"/>
    </row>
    <row r="1695" ht="12.75">
      <c r="F1695" s="13"/>
    </row>
    <row r="1696" ht="12.75">
      <c r="F1696" s="13"/>
    </row>
    <row r="1697" ht="12.75">
      <c r="F1697" s="13"/>
    </row>
    <row r="1698" ht="12.75">
      <c r="F1698" s="13"/>
    </row>
    <row r="1699" ht="12.75">
      <c r="F1699" s="13"/>
    </row>
    <row r="1700" ht="12.75">
      <c r="F1700" s="13"/>
    </row>
    <row r="1701" ht="12.75">
      <c r="F1701" s="13"/>
    </row>
    <row r="1702" ht="12.75">
      <c r="F1702" s="13"/>
    </row>
    <row r="1703" ht="12.75">
      <c r="F1703" s="13"/>
    </row>
    <row r="1704" ht="12.75">
      <c r="F1704" s="13"/>
    </row>
    <row r="1705" ht="12.75">
      <c r="F1705" s="13"/>
    </row>
    <row r="1706" ht="12.75">
      <c r="F1706" s="13"/>
    </row>
    <row r="1707" ht="12.75">
      <c r="F1707" s="13"/>
    </row>
    <row r="1708" ht="12.75">
      <c r="F1708" s="13"/>
    </row>
    <row r="1709" ht="12.75">
      <c r="F1709" s="13"/>
    </row>
    <row r="1710" ht="12.75">
      <c r="F1710" s="13"/>
    </row>
    <row r="1711" ht="12.75">
      <c r="F1711" s="13"/>
    </row>
    <row r="1712" ht="12.75">
      <c r="F1712" s="13"/>
    </row>
    <row r="1713" ht="12.75">
      <c r="F1713" s="13"/>
    </row>
    <row r="1714" ht="12.75">
      <c r="F1714" s="13"/>
    </row>
    <row r="1715" ht="12.75">
      <c r="F1715" s="13"/>
    </row>
    <row r="1716" ht="12.75">
      <c r="F1716" s="13"/>
    </row>
    <row r="1717" ht="12.75">
      <c r="F1717" s="13"/>
    </row>
    <row r="1718" ht="12.75">
      <c r="F1718" s="13"/>
    </row>
    <row r="1719" ht="12.75">
      <c r="F1719" s="13"/>
    </row>
    <row r="1720" ht="12.75">
      <c r="F1720" s="13"/>
    </row>
    <row r="1721" ht="12.75">
      <c r="F1721" s="13"/>
    </row>
    <row r="1722" ht="12.75">
      <c r="F1722" s="13"/>
    </row>
    <row r="1723" ht="12.75">
      <c r="F1723" s="13"/>
    </row>
    <row r="1724" ht="12.75">
      <c r="F1724" s="13"/>
    </row>
    <row r="1725" ht="12.75">
      <c r="F1725" s="13"/>
    </row>
    <row r="1726" ht="12.75">
      <c r="F1726" s="13"/>
    </row>
    <row r="1727" ht="12.75">
      <c r="F1727" s="13"/>
    </row>
    <row r="1728" ht="12.75">
      <c r="F1728" s="13"/>
    </row>
    <row r="1729" ht="12.75">
      <c r="F1729" s="13"/>
    </row>
    <row r="1730" ht="12.75">
      <c r="F1730" s="13"/>
    </row>
    <row r="1731" ht="12.75">
      <c r="F1731" s="13"/>
    </row>
    <row r="1732" ht="12.75">
      <c r="F1732" s="13"/>
    </row>
    <row r="1733" ht="12.75">
      <c r="F1733" s="13"/>
    </row>
    <row r="1734" ht="12.75">
      <c r="F1734" s="13"/>
    </row>
    <row r="1735" ht="12.75">
      <c r="F1735" s="13"/>
    </row>
    <row r="1736" ht="12.75">
      <c r="F1736" s="13"/>
    </row>
    <row r="1737" ht="12.75">
      <c r="F1737" s="13"/>
    </row>
    <row r="1738" ht="12.75">
      <c r="F1738" s="13"/>
    </row>
    <row r="1739" ht="12.75">
      <c r="F1739" s="13"/>
    </row>
    <row r="1740" ht="12.75">
      <c r="F1740" s="13"/>
    </row>
    <row r="1741" ht="12.75">
      <c r="F1741" s="13"/>
    </row>
    <row r="1742" ht="12.75">
      <c r="F1742" s="13"/>
    </row>
    <row r="1743" ht="12.75">
      <c r="F1743" s="13"/>
    </row>
    <row r="1744" ht="12.75">
      <c r="F1744" s="13"/>
    </row>
    <row r="1745" ht="12.75">
      <c r="F1745" s="13"/>
    </row>
    <row r="1746" ht="12.75">
      <c r="F1746" s="13"/>
    </row>
    <row r="1747" ht="12.75">
      <c r="F1747" s="13"/>
    </row>
    <row r="1748" ht="12.75">
      <c r="F1748" s="13"/>
    </row>
    <row r="1749" ht="12.75">
      <c r="F1749" s="13"/>
    </row>
    <row r="1750" ht="12.75">
      <c r="F1750" s="13"/>
    </row>
    <row r="1751" ht="12.75">
      <c r="F1751" s="13"/>
    </row>
    <row r="1752" ht="12.75">
      <c r="F1752" s="13"/>
    </row>
    <row r="1753" ht="12.75">
      <c r="F1753" s="13"/>
    </row>
    <row r="1754" ht="12.75">
      <c r="F1754" s="13"/>
    </row>
    <row r="1755" ht="12.75">
      <c r="F1755" s="13"/>
    </row>
    <row r="1756" ht="12.75">
      <c r="F1756" s="13"/>
    </row>
    <row r="1757" ht="12.75">
      <c r="F1757" s="13"/>
    </row>
    <row r="1758" ht="12.75">
      <c r="F1758" s="13"/>
    </row>
    <row r="1759" ht="12.75">
      <c r="F1759" s="13"/>
    </row>
    <row r="1760" ht="12.75">
      <c r="F1760" s="13"/>
    </row>
    <row r="1761" ht="12.75">
      <c r="F1761" s="13"/>
    </row>
    <row r="1762" ht="12.75">
      <c r="F1762" s="13"/>
    </row>
    <row r="1763" ht="12.75">
      <c r="F1763" s="13"/>
    </row>
    <row r="1764" ht="12.75">
      <c r="F1764" s="13"/>
    </row>
    <row r="1765" ht="12.75">
      <c r="F1765" s="13"/>
    </row>
    <row r="1766" ht="12.75">
      <c r="F1766" s="13"/>
    </row>
    <row r="1767" ht="12.75">
      <c r="F1767" s="13"/>
    </row>
    <row r="1768" ht="12.75">
      <c r="F1768" s="13"/>
    </row>
    <row r="1769" ht="12.75">
      <c r="F1769" s="13"/>
    </row>
    <row r="1770" ht="12.75">
      <c r="F1770" s="13"/>
    </row>
    <row r="1771" ht="12.75">
      <c r="F1771" s="13"/>
    </row>
    <row r="1772" ht="12.75">
      <c r="F1772" s="13"/>
    </row>
    <row r="1773" ht="12.75">
      <c r="F1773" s="13"/>
    </row>
    <row r="1774" ht="12.75">
      <c r="F1774" s="13"/>
    </row>
    <row r="1775" ht="12.75">
      <c r="F1775" s="13"/>
    </row>
    <row r="1776" ht="12.75">
      <c r="F1776" s="13"/>
    </row>
    <row r="1777" ht="12.75">
      <c r="F1777" s="13"/>
    </row>
    <row r="1778" ht="12.75">
      <c r="F1778" s="13"/>
    </row>
    <row r="1779" ht="12.75">
      <c r="F1779" s="13"/>
    </row>
    <row r="1780" ht="12.75">
      <c r="F1780" s="13"/>
    </row>
    <row r="1781" ht="12.75">
      <c r="F1781" s="13"/>
    </row>
    <row r="1782" ht="12.75">
      <c r="F1782" s="13"/>
    </row>
    <row r="1783" ht="12.75">
      <c r="F1783" s="13"/>
    </row>
    <row r="1784" ht="12.75">
      <c r="F1784" s="13"/>
    </row>
    <row r="1785" ht="12.75">
      <c r="F1785" s="13"/>
    </row>
    <row r="1786" ht="12.75">
      <c r="F1786" s="13"/>
    </row>
    <row r="1787" ht="12.75">
      <c r="F1787" s="13"/>
    </row>
    <row r="1788" ht="12.75">
      <c r="F1788" s="13"/>
    </row>
    <row r="1789" ht="12.75">
      <c r="F1789" s="13"/>
    </row>
    <row r="1790" ht="12.75">
      <c r="F1790" s="13"/>
    </row>
    <row r="1791" ht="12.75">
      <c r="F1791" s="13"/>
    </row>
    <row r="1792" ht="12.75">
      <c r="F1792" s="13"/>
    </row>
    <row r="1793" ht="12.75">
      <c r="F1793" s="13"/>
    </row>
    <row r="1794" ht="12.75">
      <c r="F1794" s="13"/>
    </row>
    <row r="1795" ht="12.75">
      <c r="F1795" s="13"/>
    </row>
    <row r="1796" ht="12.75">
      <c r="F1796" s="13"/>
    </row>
    <row r="1797" ht="12.75">
      <c r="F1797" s="13"/>
    </row>
    <row r="1798" ht="12.75">
      <c r="F1798" s="13"/>
    </row>
    <row r="1799" ht="12.75">
      <c r="F1799" s="13"/>
    </row>
    <row r="1800" ht="12.75">
      <c r="F1800" s="13"/>
    </row>
    <row r="1801" ht="12.75">
      <c r="F1801" s="13"/>
    </row>
    <row r="1802" ht="12.75">
      <c r="F1802" s="13"/>
    </row>
    <row r="1803" ht="12.75">
      <c r="F1803" s="13"/>
    </row>
    <row r="1804" ht="12.75">
      <c r="F1804" s="13"/>
    </row>
    <row r="1805" ht="12.75">
      <c r="F1805" s="13"/>
    </row>
    <row r="1806" ht="12.75">
      <c r="F1806" s="13"/>
    </row>
    <row r="1807" ht="12.75">
      <c r="F1807" s="13"/>
    </row>
    <row r="1808" ht="12.75">
      <c r="F1808" s="13"/>
    </row>
    <row r="1809" ht="12.75">
      <c r="F1809" s="13"/>
    </row>
    <row r="1810" ht="12.75">
      <c r="F1810" s="13"/>
    </row>
    <row r="1811" ht="12.75">
      <c r="F1811" s="13"/>
    </row>
    <row r="1812" ht="12.75">
      <c r="F1812" s="13"/>
    </row>
    <row r="1813" ht="12.75">
      <c r="F1813" s="13"/>
    </row>
    <row r="1814" ht="12.75">
      <c r="F1814" s="13"/>
    </row>
    <row r="1815" ht="12.75">
      <c r="F1815" s="13"/>
    </row>
    <row r="1816" ht="12.75">
      <c r="F1816" s="13"/>
    </row>
    <row r="1817" ht="12.75">
      <c r="F1817" s="13"/>
    </row>
    <row r="1818" ht="12.75">
      <c r="F1818" s="13"/>
    </row>
    <row r="1819" ht="12.75">
      <c r="F1819" s="13"/>
    </row>
    <row r="1820" ht="12.75">
      <c r="F1820" s="13"/>
    </row>
    <row r="1821" ht="12.75">
      <c r="F1821" s="13"/>
    </row>
    <row r="1822" ht="12.75">
      <c r="F1822" s="13"/>
    </row>
    <row r="1823" ht="12.75">
      <c r="F1823" s="13"/>
    </row>
    <row r="1824" ht="12.75">
      <c r="F1824" s="13"/>
    </row>
    <row r="1825" ht="12.75">
      <c r="F1825" s="13"/>
    </row>
    <row r="1826" ht="12.75">
      <c r="F1826" s="13"/>
    </row>
    <row r="1827" ht="12.75">
      <c r="F1827" s="13"/>
    </row>
    <row r="1828" ht="12.75">
      <c r="F1828" s="13"/>
    </row>
    <row r="1829" ht="12.75">
      <c r="F1829" s="13"/>
    </row>
    <row r="1830" ht="12.75">
      <c r="F1830" s="13"/>
    </row>
    <row r="1831" ht="12.75">
      <c r="F1831" s="13"/>
    </row>
    <row r="1832" ht="12.75">
      <c r="F1832" s="13"/>
    </row>
    <row r="1833" ht="12.75">
      <c r="F1833" s="13"/>
    </row>
    <row r="1834" ht="12.75">
      <c r="F1834" s="13"/>
    </row>
    <row r="1835" ht="12.75">
      <c r="F1835" s="13"/>
    </row>
    <row r="1836" ht="12.75">
      <c r="F1836" s="13"/>
    </row>
    <row r="1837" ht="12.75">
      <c r="F1837" s="13"/>
    </row>
    <row r="1838" ht="12.75">
      <c r="F1838" s="13"/>
    </row>
    <row r="1839" ht="12.75">
      <c r="F1839" s="13"/>
    </row>
    <row r="1840" ht="12.75">
      <c r="F1840" s="13"/>
    </row>
    <row r="1841" ht="12.75">
      <c r="F1841" s="13"/>
    </row>
    <row r="1842" ht="12.75">
      <c r="F1842" s="13"/>
    </row>
    <row r="1843" ht="12.75">
      <c r="F1843" s="13"/>
    </row>
    <row r="1844" ht="12.75">
      <c r="F1844" s="13"/>
    </row>
    <row r="1845" ht="12.75">
      <c r="F1845" s="13"/>
    </row>
    <row r="1846" ht="12.75">
      <c r="F1846" s="13"/>
    </row>
    <row r="1847" ht="12.75">
      <c r="F1847" s="13"/>
    </row>
    <row r="1848" ht="12.75">
      <c r="F1848" s="13"/>
    </row>
    <row r="1849" ht="12.75">
      <c r="F1849" s="13"/>
    </row>
    <row r="1850" ht="12.75">
      <c r="F1850" s="13"/>
    </row>
    <row r="1851" ht="12.75">
      <c r="F1851" s="13"/>
    </row>
    <row r="1852" ht="12.75">
      <c r="F1852" s="13"/>
    </row>
    <row r="1853" ht="12.75">
      <c r="F1853" s="13"/>
    </row>
    <row r="1854" ht="12.75">
      <c r="F1854" s="13"/>
    </row>
    <row r="1855" ht="12.75">
      <c r="F1855" s="13"/>
    </row>
    <row r="1856" ht="12.75">
      <c r="F1856" s="13"/>
    </row>
    <row r="1857" ht="12.75">
      <c r="F1857" s="13"/>
    </row>
    <row r="1858" ht="12.75">
      <c r="F1858" s="13"/>
    </row>
    <row r="1859" ht="12.75">
      <c r="F1859" s="13"/>
    </row>
    <row r="1860" ht="12.75">
      <c r="F1860" s="13"/>
    </row>
    <row r="1861" ht="12.75">
      <c r="F1861" s="13"/>
    </row>
    <row r="1862" ht="12.75">
      <c r="F1862" s="13"/>
    </row>
    <row r="1863" ht="12.75">
      <c r="F1863" s="13"/>
    </row>
    <row r="1864" ht="12.75">
      <c r="F1864" s="13"/>
    </row>
    <row r="1865" ht="12.75">
      <c r="F1865" s="13"/>
    </row>
    <row r="1866" ht="12.75">
      <c r="F1866" s="13"/>
    </row>
    <row r="1867" ht="12.75">
      <c r="F1867" s="13"/>
    </row>
    <row r="1868" ht="12.75">
      <c r="F1868" s="13"/>
    </row>
    <row r="1869" ht="12.75">
      <c r="F1869" s="13"/>
    </row>
    <row r="1870" ht="12.75">
      <c r="F1870" s="13"/>
    </row>
    <row r="1871" ht="12.75">
      <c r="F1871" s="13"/>
    </row>
    <row r="1872" ht="12.75">
      <c r="F1872" s="13"/>
    </row>
    <row r="1873" ht="12.75">
      <c r="F1873" s="13"/>
    </row>
    <row r="1874" ht="12.75">
      <c r="F1874" s="13"/>
    </row>
    <row r="1875" ht="12.75">
      <c r="F1875" s="13"/>
    </row>
    <row r="1876" ht="12.75">
      <c r="F1876" s="13"/>
    </row>
    <row r="1877" ht="12.75">
      <c r="F1877" s="13"/>
    </row>
    <row r="1878" ht="12.75">
      <c r="F1878" s="13"/>
    </row>
    <row r="1879" ht="12.75">
      <c r="F1879" s="13"/>
    </row>
    <row r="1880" ht="12.75">
      <c r="F1880" s="13"/>
    </row>
    <row r="1881" ht="12.75">
      <c r="F1881" s="13"/>
    </row>
    <row r="1882" ht="12.75">
      <c r="F1882" s="13"/>
    </row>
    <row r="1883" ht="12.75">
      <c r="F1883" s="13"/>
    </row>
    <row r="1884" ht="12.75">
      <c r="F1884" s="13"/>
    </row>
    <row r="1885" ht="12.75">
      <c r="F1885" s="13"/>
    </row>
    <row r="1886" ht="12.75">
      <c r="F1886" s="13"/>
    </row>
    <row r="1887" ht="12.75">
      <c r="F1887" s="13"/>
    </row>
    <row r="1888" ht="12.75">
      <c r="F1888" s="13"/>
    </row>
    <row r="1889" ht="12.75">
      <c r="F1889" s="13"/>
    </row>
    <row r="1890" ht="12.75">
      <c r="F1890" s="13"/>
    </row>
    <row r="1891" ht="12.75">
      <c r="F1891" s="13"/>
    </row>
    <row r="1892" ht="12.75">
      <c r="F1892" s="13"/>
    </row>
    <row r="1893" ht="12.75">
      <c r="F1893" s="13"/>
    </row>
    <row r="1894" ht="12.75">
      <c r="F1894" s="13"/>
    </row>
    <row r="1895" ht="12.75">
      <c r="F1895" s="13"/>
    </row>
    <row r="1896" ht="12.75">
      <c r="F1896" s="13"/>
    </row>
    <row r="1897" ht="12.75">
      <c r="F1897" s="13"/>
    </row>
    <row r="1898" ht="12.75">
      <c r="F1898" s="13"/>
    </row>
    <row r="1899" ht="12.75">
      <c r="F1899" s="13"/>
    </row>
    <row r="1900" ht="12.75">
      <c r="F1900" s="13"/>
    </row>
    <row r="1901" ht="12.75">
      <c r="F1901" s="13"/>
    </row>
    <row r="1902" ht="12.75">
      <c r="F1902" s="13"/>
    </row>
    <row r="1903" ht="12.75">
      <c r="F1903" s="13"/>
    </row>
    <row r="1904" ht="12.75">
      <c r="F1904" s="13"/>
    </row>
    <row r="1905" ht="12.75">
      <c r="F1905" s="13"/>
    </row>
    <row r="1906" ht="12.75">
      <c r="F1906" s="13"/>
    </row>
    <row r="1907" ht="12.75">
      <c r="F1907" s="13"/>
    </row>
    <row r="1908" ht="12.75">
      <c r="F1908" s="13"/>
    </row>
    <row r="1909" ht="12.75">
      <c r="F1909" s="13"/>
    </row>
    <row r="1910" ht="12.75">
      <c r="F1910" s="13"/>
    </row>
    <row r="1911" ht="12.75">
      <c r="F1911" s="13"/>
    </row>
    <row r="1912" ht="12.75">
      <c r="F1912" s="13"/>
    </row>
    <row r="1913" ht="12.75">
      <c r="F1913" s="13"/>
    </row>
    <row r="1914" ht="12.75">
      <c r="F1914" s="13"/>
    </row>
    <row r="1915" ht="12.75">
      <c r="F1915" s="13"/>
    </row>
    <row r="1916" ht="12.75">
      <c r="F1916" s="13"/>
    </row>
    <row r="1917" ht="12.75">
      <c r="F1917" s="13"/>
    </row>
    <row r="1918" ht="12.75">
      <c r="F1918" s="13"/>
    </row>
    <row r="1919" ht="12.75">
      <c r="F1919" s="13"/>
    </row>
    <row r="1920" ht="12.75">
      <c r="F1920" s="13"/>
    </row>
    <row r="1921" ht="12.75">
      <c r="F1921" s="13"/>
    </row>
    <row r="1922" ht="12.75">
      <c r="F1922" s="13"/>
    </row>
    <row r="1923" ht="12.75">
      <c r="F1923" s="13"/>
    </row>
    <row r="1924" ht="12.75">
      <c r="F1924" s="13"/>
    </row>
    <row r="1925" ht="12.75">
      <c r="F1925" s="13"/>
    </row>
    <row r="1926" ht="12.75">
      <c r="F1926" s="13"/>
    </row>
    <row r="1927" ht="12.75">
      <c r="F1927" s="13"/>
    </row>
    <row r="1928" ht="12.75">
      <c r="F1928" s="13"/>
    </row>
    <row r="1929" ht="12.75">
      <c r="F1929" s="13"/>
    </row>
    <row r="1930" ht="12.75">
      <c r="F1930" s="13"/>
    </row>
    <row r="1931" ht="12.75">
      <c r="F1931" s="13"/>
    </row>
    <row r="1932" ht="12.75">
      <c r="F1932" s="13"/>
    </row>
    <row r="1933" ht="12.75">
      <c r="F1933" s="13"/>
    </row>
    <row r="1934" ht="12.75">
      <c r="F1934" s="13"/>
    </row>
    <row r="1935" ht="12.75">
      <c r="F1935" s="13"/>
    </row>
    <row r="1936" ht="12.75">
      <c r="F1936" s="13"/>
    </row>
    <row r="1937" ht="12.75">
      <c r="F1937" s="13"/>
    </row>
    <row r="1938" ht="12.75">
      <c r="F1938" s="13"/>
    </row>
    <row r="1939" ht="12.75">
      <c r="F1939" s="13"/>
    </row>
    <row r="1940" ht="12.75">
      <c r="F1940" s="13"/>
    </row>
    <row r="1941" ht="12.75">
      <c r="F1941" s="13"/>
    </row>
    <row r="1942" ht="12.75">
      <c r="F1942" s="13"/>
    </row>
    <row r="1943" ht="12.75">
      <c r="F1943" s="13"/>
    </row>
    <row r="1944" ht="12.75">
      <c r="F1944" s="13"/>
    </row>
    <row r="1945" ht="12.75">
      <c r="F1945" s="13"/>
    </row>
    <row r="1946" ht="12.75">
      <c r="F1946" s="13"/>
    </row>
    <row r="1947" ht="12.75">
      <c r="F1947" s="13"/>
    </row>
    <row r="1948" ht="12.75">
      <c r="F1948" s="13"/>
    </row>
    <row r="1949" ht="12.75">
      <c r="F1949" s="13"/>
    </row>
    <row r="1950" ht="12.75">
      <c r="F1950" s="13"/>
    </row>
    <row r="1951" ht="12.75">
      <c r="F1951" s="13"/>
    </row>
    <row r="1952" ht="12.75">
      <c r="F1952" s="13"/>
    </row>
    <row r="1953" ht="12.75">
      <c r="F1953" s="13"/>
    </row>
    <row r="1954" ht="12.75">
      <c r="F1954" s="13"/>
    </row>
    <row r="1955" ht="12.75">
      <c r="F1955" s="13"/>
    </row>
    <row r="1956" ht="12.75">
      <c r="F1956" s="13"/>
    </row>
    <row r="1957" ht="12.75">
      <c r="F1957" s="13"/>
    </row>
    <row r="1958" ht="12.75">
      <c r="F1958" s="13"/>
    </row>
    <row r="1959" ht="12.75">
      <c r="F1959" s="13"/>
    </row>
    <row r="1960" ht="12.75">
      <c r="F1960" s="13"/>
    </row>
    <row r="1961" ht="12.75">
      <c r="F1961" s="13"/>
    </row>
    <row r="1962" ht="12.75">
      <c r="F1962" s="13"/>
    </row>
    <row r="1963" ht="12.75">
      <c r="F1963" s="13"/>
    </row>
    <row r="1964" ht="12.75">
      <c r="F1964" s="13"/>
    </row>
    <row r="1965" ht="12.75">
      <c r="F1965" s="13"/>
    </row>
    <row r="1966" ht="12.75">
      <c r="F1966" s="13"/>
    </row>
    <row r="1967" ht="12.75">
      <c r="F1967" s="13"/>
    </row>
    <row r="1968" ht="12.75">
      <c r="F1968" s="13"/>
    </row>
    <row r="1969" ht="12.75">
      <c r="F1969" s="13"/>
    </row>
    <row r="1970" ht="12.75">
      <c r="F1970" s="13"/>
    </row>
    <row r="1971" ht="12.75">
      <c r="F1971" s="13"/>
    </row>
    <row r="1972" ht="12.75">
      <c r="F1972" s="13"/>
    </row>
    <row r="1973" ht="12.75">
      <c r="F1973" s="13"/>
    </row>
    <row r="1974" ht="12.75">
      <c r="F1974" s="13"/>
    </row>
    <row r="1975" ht="12.75">
      <c r="F1975" s="13"/>
    </row>
    <row r="1976" ht="12.75">
      <c r="F1976" s="13"/>
    </row>
    <row r="1977" ht="12.75">
      <c r="F1977" s="13"/>
    </row>
    <row r="1978" ht="12.75">
      <c r="F1978" s="13"/>
    </row>
    <row r="1979" ht="12.75">
      <c r="F1979" s="13"/>
    </row>
    <row r="1980" ht="12.75">
      <c r="F1980" s="13"/>
    </row>
    <row r="1981" ht="12.75">
      <c r="F1981" s="13"/>
    </row>
    <row r="1982" ht="12.75">
      <c r="F1982" s="13"/>
    </row>
    <row r="1983" ht="12.75">
      <c r="F1983" s="13"/>
    </row>
    <row r="1984" ht="12.75">
      <c r="F1984" s="13"/>
    </row>
    <row r="1985" ht="12.75">
      <c r="F1985" s="13"/>
    </row>
    <row r="1986" ht="12.75">
      <c r="F1986" s="13"/>
    </row>
    <row r="1987" ht="12.75">
      <c r="F1987" s="13"/>
    </row>
    <row r="1988" ht="12.75">
      <c r="F1988" s="13"/>
    </row>
    <row r="1989" ht="12.75">
      <c r="F1989" s="13"/>
    </row>
    <row r="1990" ht="12.75">
      <c r="F1990" s="13"/>
    </row>
    <row r="1991" ht="12.75">
      <c r="F1991" s="13"/>
    </row>
    <row r="1992" ht="12.75">
      <c r="F1992" s="13"/>
    </row>
    <row r="1993" ht="12.75">
      <c r="F1993" s="13"/>
    </row>
    <row r="1994" ht="12.75">
      <c r="F1994" s="13"/>
    </row>
    <row r="1995" ht="12.75">
      <c r="F1995" s="13"/>
    </row>
    <row r="1996" ht="12.75">
      <c r="F1996" s="13"/>
    </row>
    <row r="1997" ht="12.75">
      <c r="F1997" s="13"/>
    </row>
    <row r="1998" ht="12.75">
      <c r="F1998" s="13"/>
    </row>
    <row r="1999" ht="12.75">
      <c r="F1999" s="13"/>
    </row>
    <row r="2000" ht="12.75">
      <c r="F2000" s="13"/>
    </row>
    <row r="2001" ht="12.75">
      <c r="F2001" s="13"/>
    </row>
    <row r="2002" ht="12.75">
      <c r="F2002" s="13"/>
    </row>
    <row r="2003" ht="12.75">
      <c r="F2003" s="13"/>
    </row>
    <row r="2004" ht="12.75">
      <c r="F2004" s="13"/>
    </row>
    <row r="2005" ht="12.75">
      <c r="F2005" s="13"/>
    </row>
    <row r="2006" ht="12.75">
      <c r="F2006" s="13"/>
    </row>
    <row r="2007" ht="12.75">
      <c r="F2007" s="13"/>
    </row>
    <row r="2008" ht="12.75">
      <c r="F2008" s="13"/>
    </row>
    <row r="2009" ht="12.75">
      <c r="F2009" s="13"/>
    </row>
    <row r="2010" ht="12.75">
      <c r="F2010" s="13"/>
    </row>
    <row r="2011" ht="12.75">
      <c r="F2011" s="13"/>
    </row>
    <row r="2012" ht="12.75">
      <c r="F2012" s="13"/>
    </row>
    <row r="2013" ht="12.75">
      <c r="F2013" s="13"/>
    </row>
    <row r="2014" ht="12.75">
      <c r="F2014" s="13"/>
    </row>
    <row r="2015" ht="12.75">
      <c r="F2015" s="13"/>
    </row>
    <row r="2016" ht="12.75">
      <c r="F2016" s="13"/>
    </row>
    <row r="2017" ht="12.75">
      <c r="F2017" s="13"/>
    </row>
    <row r="2018" ht="12.75">
      <c r="F2018" s="13"/>
    </row>
    <row r="2019" ht="12.75">
      <c r="F2019" s="13"/>
    </row>
    <row r="2020" ht="12.75">
      <c r="F2020" s="13"/>
    </row>
    <row r="2021" ht="12.75">
      <c r="F2021" s="13"/>
    </row>
    <row r="2022" ht="12.75">
      <c r="F2022" s="13"/>
    </row>
    <row r="2023" ht="12.75">
      <c r="F2023" s="13"/>
    </row>
    <row r="2024" ht="12.75">
      <c r="F2024" s="13"/>
    </row>
    <row r="2025" ht="12.75">
      <c r="F2025" s="13"/>
    </row>
    <row r="2026" ht="12.75">
      <c r="F2026" s="13"/>
    </row>
    <row r="2027" ht="12.75">
      <c r="F2027" s="13"/>
    </row>
    <row r="2028" ht="12.75">
      <c r="F2028" s="13"/>
    </row>
    <row r="2029" ht="12.75">
      <c r="F2029" s="13"/>
    </row>
    <row r="2030" ht="12.75">
      <c r="F2030" s="13"/>
    </row>
    <row r="2031" ht="12.75">
      <c r="F2031" s="13"/>
    </row>
    <row r="2032" ht="12.75">
      <c r="F2032" s="13"/>
    </row>
    <row r="2033" ht="12.75">
      <c r="F2033" s="13"/>
    </row>
    <row r="2034" ht="12.75">
      <c r="F2034" s="13"/>
    </row>
    <row r="2035" ht="12.75">
      <c r="F2035" s="13"/>
    </row>
    <row r="2036" ht="12.75">
      <c r="F2036" s="13"/>
    </row>
    <row r="2037" ht="12.75">
      <c r="F2037" s="13"/>
    </row>
    <row r="2038" ht="12.75">
      <c r="F2038" s="13"/>
    </row>
    <row r="2039" ht="12.75">
      <c r="F2039" s="13"/>
    </row>
    <row r="2040" ht="12.75">
      <c r="F2040" s="13"/>
    </row>
    <row r="2041" ht="12.75">
      <c r="F2041" s="13"/>
    </row>
    <row r="2042" ht="12.75">
      <c r="F2042" s="13"/>
    </row>
    <row r="2043" ht="12.75">
      <c r="F2043" s="13"/>
    </row>
    <row r="2044" ht="12.75">
      <c r="F2044" s="13"/>
    </row>
    <row r="2045" ht="12.75">
      <c r="F2045" s="13"/>
    </row>
    <row r="2046" ht="12.75">
      <c r="F2046" s="13"/>
    </row>
    <row r="2047" ht="12.75">
      <c r="F2047" s="13"/>
    </row>
    <row r="2048" ht="12.75">
      <c r="F2048" s="13"/>
    </row>
    <row r="2049" ht="12.75">
      <c r="F2049" s="13"/>
    </row>
    <row r="2050" ht="12.75">
      <c r="F2050" s="13"/>
    </row>
    <row r="2051" ht="12.75">
      <c r="F2051" s="13"/>
    </row>
    <row r="2052" ht="12.75">
      <c r="F2052" s="13"/>
    </row>
    <row r="2053" ht="12.75">
      <c r="F2053" s="13"/>
    </row>
    <row r="2054" ht="12.75">
      <c r="F2054" s="13"/>
    </row>
    <row r="2055" ht="12.75">
      <c r="F2055" s="13"/>
    </row>
    <row r="2056" ht="12.75">
      <c r="F2056" s="13"/>
    </row>
    <row r="2057" ht="12.75">
      <c r="F2057" s="13"/>
    </row>
    <row r="2058" ht="12.75">
      <c r="F2058" s="13"/>
    </row>
    <row r="2059" ht="12.75">
      <c r="F2059" s="13"/>
    </row>
    <row r="2060" ht="12.75">
      <c r="F2060" s="13"/>
    </row>
    <row r="2061" ht="12.75">
      <c r="F2061" s="13"/>
    </row>
    <row r="2062" ht="12.75">
      <c r="F2062" s="13"/>
    </row>
    <row r="2063" ht="12.75">
      <c r="F2063" s="13"/>
    </row>
    <row r="2064" ht="12.75">
      <c r="F2064" s="13"/>
    </row>
    <row r="2065" ht="12.75">
      <c r="F2065" s="13"/>
    </row>
    <row r="2066" ht="12.75">
      <c r="F2066" s="13"/>
    </row>
    <row r="2067" ht="12.75">
      <c r="F2067" s="13"/>
    </row>
    <row r="2068" ht="12.75">
      <c r="F2068" s="13"/>
    </row>
    <row r="2069" ht="12.75">
      <c r="F2069" s="13"/>
    </row>
    <row r="2070" ht="12.75">
      <c r="F2070" s="13"/>
    </row>
    <row r="2071" ht="12.75">
      <c r="F2071" s="13"/>
    </row>
    <row r="2072" ht="12.75">
      <c r="F2072" s="13"/>
    </row>
    <row r="2073" ht="12.75">
      <c r="F2073" s="13"/>
    </row>
    <row r="2074" ht="12.75">
      <c r="F2074" s="13"/>
    </row>
    <row r="2075" ht="12.75">
      <c r="F2075" s="13"/>
    </row>
    <row r="2076" ht="12.75">
      <c r="F2076" s="13"/>
    </row>
    <row r="2077" ht="12.75">
      <c r="F2077" s="13"/>
    </row>
    <row r="2078" ht="12.75">
      <c r="F2078" s="13"/>
    </row>
    <row r="2079" ht="12.75">
      <c r="F2079" s="13"/>
    </row>
    <row r="2080" ht="12.75">
      <c r="F2080" s="13"/>
    </row>
    <row r="2081" ht="12.75">
      <c r="F2081" s="13"/>
    </row>
    <row r="2082" ht="12.75">
      <c r="F2082" s="13"/>
    </row>
    <row r="2083" ht="12.75">
      <c r="F2083" s="13"/>
    </row>
    <row r="2084" ht="12.75">
      <c r="F2084" s="13"/>
    </row>
    <row r="2085" ht="12.75">
      <c r="F2085" s="13"/>
    </row>
    <row r="2086" ht="12.75">
      <c r="F2086" s="13"/>
    </row>
    <row r="2087" ht="12.75">
      <c r="F2087" s="13"/>
    </row>
    <row r="2088" ht="12.75">
      <c r="F2088" s="13"/>
    </row>
    <row r="2089" ht="12.75">
      <c r="F2089" s="13"/>
    </row>
    <row r="2090" ht="12.75">
      <c r="F2090" s="13"/>
    </row>
    <row r="2091" ht="12.75">
      <c r="F2091" s="13"/>
    </row>
    <row r="2092" ht="12.75">
      <c r="F2092" s="13"/>
    </row>
    <row r="2093" ht="12.75">
      <c r="F2093" s="13"/>
    </row>
    <row r="2094" ht="12.75">
      <c r="F2094" s="13"/>
    </row>
    <row r="2095" ht="12.75">
      <c r="F2095" s="13"/>
    </row>
    <row r="2096" ht="12.75">
      <c r="F2096" s="13"/>
    </row>
    <row r="2097" ht="12.75">
      <c r="F2097" s="13"/>
    </row>
    <row r="2098" ht="12.75">
      <c r="F2098" s="13"/>
    </row>
    <row r="2099" ht="12.75">
      <c r="F2099" s="13"/>
    </row>
    <row r="2100" ht="12.75">
      <c r="F2100" s="13"/>
    </row>
    <row r="2101" ht="12.75">
      <c r="F2101" s="13"/>
    </row>
    <row r="2102" ht="12.75">
      <c r="F2102" s="13"/>
    </row>
    <row r="2103" ht="12.75">
      <c r="F2103" s="13"/>
    </row>
    <row r="2104" ht="12.75">
      <c r="F2104" s="13"/>
    </row>
    <row r="2105" ht="12.75">
      <c r="F2105" s="13"/>
    </row>
    <row r="2106" ht="12.75">
      <c r="F2106" s="13"/>
    </row>
    <row r="2107" ht="12.75">
      <c r="F2107" s="13"/>
    </row>
    <row r="2108" ht="12.75">
      <c r="F2108" s="13"/>
    </row>
    <row r="2109" ht="12.75">
      <c r="F2109" s="13"/>
    </row>
    <row r="2110" ht="12.75">
      <c r="F2110" s="13"/>
    </row>
    <row r="2111" ht="12.75">
      <c r="F2111" s="13"/>
    </row>
    <row r="2112" ht="12.75">
      <c r="F2112" s="13"/>
    </row>
    <row r="2113" ht="12.75">
      <c r="F2113" s="13"/>
    </row>
    <row r="2114" ht="12.75">
      <c r="F2114" s="13"/>
    </row>
    <row r="2115" ht="12.75">
      <c r="F2115" s="13"/>
    </row>
    <row r="2116" ht="12.75">
      <c r="F2116" s="13"/>
    </row>
    <row r="2117" ht="12.75">
      <c r="F2117" s="13"/>
    </row>
    <row r="2118" ht="12.75">
      <c r="F2118" s="13"/>
    </row>
    <row r="2119" ht="12.75">
      <c r="F2119" s="13"/>
    </row>
    <row r="2120" ht="12.75">
      <c r="F2120" s="13"/>
    </row>
    <row r="2121" ht="12.75">
      <c r="F2121" s="13"/>
    </row>
    <row r="2122" ht="12.75">
      <c r="F2122" s="13"/>
    </row>
    <row r="2123" ht="12.75">
      <c r="F2123" s="13"/>
    </row>
    <row r="2124" ht="12.75">
      <c r="F2124" s="13"/>
    </row>
    <row r="2125" ht="12.75">
      <c r="F2125" s="13"/>
    </row>
    <row r="2126" ht="12.75">
      <c r="F2126" s="13"/>
    </row>
    <row r="2127" ht="12.75">
      <c r="F2127" s="13"/>
    </row>
    <row r="2128" ht="12.75">
      <c r="F2128" s="13"/>
    </row>
    <row r="2129" ht="12.75">
      <c r="F2129" s="13"/>
    </row>
    <row r="2130" ht="12.75">
      <c r="F2130" s="13"/>
    </row>
    <row r="2131" ht="12.75">
      <c r="F2131" s="13"/>
    </row>
    <row r="2132" ht="12.75">
      <c r="F2132" s="13"/>
    </row>
    <row r="2133" ht="12.75">
      <c r="F2133" s="13"/>
    </row>
    <row r="2134" ht="12.75">
      <c r="F2134" s="13"/>
    </row>
    <row r="2135" ht="12.75">
      <c r="F2135" s="13"/>
    </row>
    <row r="2136" ht="12.75">
      <c r="F2136" s="13"/>
    </row>
    <row r="2137" ht="12.75">
      <c r="F2137" s="13"/>
    </row>
    <row r="2138" ht="12.75">
      <c r="F2138" s="13"/>
    </row>
    <row r="2139" ht="12.75">
      <c r="F2139" s="13"/>
    </row>
    <row r="2140" ht="12.75">
      <c r="F2140" s="13"/>
    </row>
    <row r="2141" ht="12.75">
      <c r="F2141" s="13"/>
    </row>
    <row r="2142" ht="12.75">
      <c r="F2142" s="13"/>
    </row>
    <row r="2143" ht="12.75">
      <c r="F2143" s="13"/>
    </row>
    <row r="2144" ht="12.75">
      <c r="F2144" s="13"/>
    </row>
    <row r="2145" ht="12.75">
      <c r="F2145" s="13"/>
    </row>
    <row r="2146" ht="12.75">
      <c r="F2146" s="13"/>
    </row>
    <row r="2147" ht="12.75">
      <c r="F2147" s="13"/>
    </row>
    <row r="2148" ht="12.75">
      <c r="F2148" s="13"/>
    </row>
    <row r="2149" ht="12.75">
      <c r="F2149" s="13"/>
    </row>
    <row r="2150" ht="12.75">
      <c r="F2150" s="13"/>
    </row>
    <row r="2151" ht="12.75">
      <c r="F2151" s="13"/>
    </row>
    <row r="2152" ht="12.75">
      <c r="F2152" s="13"/>
    </row>
    <row r="2153" ht="12.75">
      <c r="F2153" s="13"/>
    </row>
    <row r="2154" ht="12.75">
      <c r="F2154" s="13"/>
    </row>
    <row r="2155" ht="12.75">
      <c r="F2155" s="13"/>
    </row>
    <row r="2156" ht="12.75">
      <c r="F2156" s="13"/>
    </row>
    <row r="2157" ht="12.75">
      <c r="F2157" s="13"/>
    </row>
    <row r="2158" ht="12.75">
      <c r="F2158" s="13"/>
    </row>
    <row r="2159" ht="12.75">
      <c r="F2159" s="13"/>
    </row>
    <row r="2160" ht="12.75">
      <c r="F2160" s="13"/>
    </row>
    <row r="2161" ht="12.75">
      <c r="F2161" s="13"/>
    </row>
    <row r="2162" ht="12.75">
      <c r="F2162" s="13"/>
    </row>
    <row r="2163" ht="12.75">
      <c r="F2163" s="13"/>
    </row>
    <row r="2164" ht="12.75">
      <c r="F2164" s="13"/>
    </row>
    <row r="2165" ht="12.75">
      <c r="F2165" s="13"/>
    </row>
    <row r="2166" ht="12.75">
      <c r="F2166" s="13"/>
    </row>
    <row r="2167" ht="12.75">
      <c r="F2167" s="13"/>
    </row>
    <row r="2168" ht="12.75">
      <c r="F2168" s="13"/>
    </row>
    <row r="2169" ht="12.75">
      <c r="F2169" s="13"/>
    </row>
    <row r="2170" ht="12.75">
      <c r="F2170" s="13"/>
    </row>
    <row r="2171" ht="12.75">
      <c r="F2171" s="13"/>
    </row>
    <row r="2172" ht="12.75">
      <c r="F2172" s="13"/>
    </row>
    <row r="2173" ht="12.75">
      <c r="F2173" s="13"/>
    </row>
    <row r="2174" ht="12.75">
      <c r="F2174" s="13"/>
    </row>
    <row r="2175" ht="12.75">
      <c r="F2175" s="13"/>
    </row>
    <row r="2176" ht="12.75">
      <c r="F2176" s="13"/>
    </row>
    <row r="2177" ht="12.75">
      <c r="F2177" s="13"/>
    </row>
    <row r="2178" ht="12.75">
      <c r="F2178" s="13"/>
    </row>
    <row r="2179" ht="12.75">
      <c r="F2179" s="13"/>
    </row>
    <row r="2180" ht="12.75">
      <c r="F2180" s="13"/>
    </row>
    <row r="2181" ht="12.75">
      <c r="F2181" s="13"/>
    </row>
    <row r="2182" ht="12.75">
      <c r="F2182" s="13"/>
    </row>
    <row r="2183" ht="12.75">
      <c r="F2183" s="13"/>
    </row>
    <row r="2184" ht="12.75">
      <c r="F2184" s="13"/>
    </row>
    <row r="2185" ht="12.75">
      <c r="F2185" s="13"/>
    </row>
    <row r="2186" ht="12.75">
      <c r="F2186" s="13"/>
    </row>
    <row r="2187" ht="12.75">
      <c r="F2187" s="13"/>
    </row>
    <row r="2188" ht="12.75">
      <c r="F2188" s="13"/>
    </row>
    <row r="2189" ht="12.75">
      <c r="F2189" s="13"/>
    </row>
    <row r="2190" ht="12.75">
      <c r="F2190" s="13"/>
    </row>
    <row r="2191" ht="12.75">
      <c r="F2191" s="13"/>
    </row>
    <row r="2192" ht="12.75">
      <c r="F2192" s="13"/>
    </row>
    <row r="2193" ht="12.75">
      <c r="F2193" s="13"/>
    </row>
    <row r="2194" ht="12.75">
      <c r="F2194" s="13"/>
    </row>
    <row r="2195" ht="12.75">
      <c r="F2195" s="13"/>
    </row>
    <row r="2196" ht="12.75">
      <c r="F2196" s="13"/>
    </row>
    <row r="2197" ht="12.75">
      <c r="F2197" s="13"/>
    </row>
    <row r="2198" ht="12.75">
      <c r="F2198" s="13"/>
    </row>
    <row r="2199" ht="12.75">
      <c r="F2199" s="13"/>
    </row>
    <row r="2200" ht="12.75">
      <c r="F2200" s="13"/>
    </row>
    <row r="2201" ht="12.75">
      <c r="F2201" s="13"/>
    </row>
    <row r="2202" ht="12.75">
      <c r="F2202" s="13"/>
    </row>
    <row r="2203" ht="12.75">
      <c r="F2203" s="13"/>
    </row>
    <row r="2204" ht="12.75">
      <c r="F2204" s="13"/>
    </row>
    <row r="2205" ht="12.75">
      <c r="F2205" s="13"/>
    </row>
    <row r="2206" ht="12.75">
      <c r="F2206" s="13"/>
    </row>
    <row r="2207" ht="12.75">
      <c r="F2207" s="13"/>
    </row>
    <row r="2208" ht="12.75">
      <c r="F2208" s="13"/>
    </row>
    <row r="2209" ht="12.75">
      <c r="F2209" s="13"/>
    </row>
    <row r="2210" ht="12.75">
      <c r="F2210" s="13"/>
    </row>
    <row r="2211" ht="12.75">
      <c r="F2211" s="13"/>
    </row>
    <row r="2212" ht="12.75">
      <c r="F2212" s="13"/>
    </row>
    <row r="2213" ht="12.75">
      <c r="F2213" s="13"/>
    </row>
    <row r="2214" ht="12.75">
      <c r="F2214" s="13"/>
    </row>
    <row r="2215" ht="12.75">
      <c r="F2215" s="13"/>
    </row>
    <row r="2216" ht="12.75">
      <c r="F2216" s="13"/>
    </row>
    <row r="2217" ht="12.75">
      <c r="F2217" s="13"/>
    </row>
    <row r="2218" ht="12.75">
      <c r="F2218" s="13"/>
    </row>
    <row r="2219" ht="12.75">
      <c r="F2219" s="13"/>
    </row>
    <row r="2220" ht="12.75">
      <c r="F2220" s="13"/>
    </row>
    <row r="2221" ht="12.75">
      <c r="F2221" s="13"/>
    </row>
    <row r="2222" ht="12.75">
      <c r="F2222" s="13"/>
    </row>
    <row r="2223" ht="12.75">
      <c r="F2223" s="13"/>
    </row>
    <row r="2224" ht="12.75">
      <c r="F2224" s="13"/>
    </row>
    <row r="2225" ht="12.75">
      <c r="F2225" s="13"/>
    </row>
    <row r="2226" ht="12.75">
      <c r="F2226" s="13"/>
    </row>
    <row r="2227" ht="12.75">
      <c r="F2227" s="13"/>
    </row>
    <row r="2228" ht="12.75">
      <c r="F2228" s="13"/>
    </row>
    <row r="2229" ht="12.75">
      <c r="F2229" s="13"/>
    </row>
    <row r="2230" ht="12.75">
      <c r="F2230" s="13"/>
    </row>
    <row r="2231" ht="12.75">
      <c r="F2231" s="13"/>
    </row>
    <row r="2232" ht="12.75">
      <c r="F2232" s="13"/>
    </row>
    <row r="2233" ht="12.75">
      <c r="F2233" s="13"/>
    </row>
    <row r="2234" ht="12.75">
      <c r="F2234" s="13"/>
    </row>
    <row r="2235" ht="12.75">
      <c r="F2235" s="13"/>
    </row>
    <row r="2236" ht="12.75">
      <c r="F2236" s="13"/>
    </row>
    <row r="2237" ht="12.75">
      <c r="F2237" s="13"/>
    </row>
    <row r="2238" ht="12.75">
      <c r="F2238" s="13"/>
    </row>
    <row r="2239" ht="12.75">
      <c r="F2239" s="13"/>
    </row>
    <row r="2240" ht="12.75">
      <c r="F2240" s="13"/>
    </row>
    <row r="2241" ht="12.75">
      <c r="F2241" s="13"/>
    </row>
    <row r="2242" ht="12.75">
      <c r="F2242" s="13"/>
    </row>
    <row r="2243" ht="12.75">
      <c r="F2243" s="13"/>
    </row>
    <row r="2244" ht="12.75">
      <c r="F2244" s="13"/>
    </row>
    <row r="2245" ht="12.75">
      <c r="F2245" s="13"/>
    </row>
    <row r="2246" ht="12.75">
      <c r="F2246" s="13"/>
    </row>
    <row r="2247" ht="12.75">
      <c r="F2247" s="13"/>
    </row>
    <row r="2248" ht="12.75">
      <c r="F2248" s="13"/>
    </row>
    <row r="2249" ht="12.75">
      <c r="F2249" s="13"/>
    </row>
    <row r="2250" ht="12.75">
      <c r="F2250" s="13"/>
    </row>
    <row r="2251" ht="12.75">
      <c r="F2251" s="13"/>
    </row>
    <row r="2252" ht="12.75">
      <c r="F2252" s="13"/>
    </row>
    <row r="2253" ht="12.75">
      <c r="F2253" s="13"/>
    </row>
    <row r="2254" ht="12.75">
      <c r="F2254" s="13"/>
    </row>
    <row r="2255" ht="12.75">
      <c r="F2255" s="13"/>
    </row>
    <row r="2256" ht="12.75">
      <c r="F2256" s="13"/>
    </row>
    <row r="2257" ht="12.75">
      <c r="F2257" s="13"/>
    </row>
    <row r="2258" ht="12.75">
      <c r="F2258" s="13"/>
    </row>
    <row r="2259" ht="12.75">
      <c r="F2259" s="13"/>
    </row>
    <row r="2260" ht="12.75">
      <c r="F2260" s="13"/>
    </row>
    <row r="2261" ht="12.75">
      <c r="F2261" s="13"/>
    </row>
    <row r="2262" ht="12.75">
      <c r="F2262" s="13"/>
    </row>
    <row r="2263" ht="12.75">
      <c r="F2263" s="13"/>
    </row>
    <row r="2264" ht="12.75">
      <c r="F2264" s="13"/>
    </row>
    <row r="2265" ht="12.75">
      <c r="F2265" s="13"/>
    </row>
    <row r="2266" ht="12.75">
      <c r="F2266" s="13"/>
    </row>
    <row r="2267" ht="12.75">
      <c r="F2267" s="13"/>
    </row>
    <row r="2268" ht="12.75">
      <c r="F2268" s="13"/>
    </row>
    <row r="2269" ht="12.75">
      <c r="F2269" s="13"/>
    </row>
    <row r="2270" ht="12.75">
      <c r="F2270" s="13"/>
    </row>
    <row r="2271" ht="12.75">
      <c r="F2271" s="13"/>
    </row>
    <row r="2272" ht="12.75">
      <c r="F2272" s="13"/>
    </row>
    <row r="2273" ht="12.75">
      <c r="F2273" s="13"/>
    </row>
    <row r="2274" ht="12.75">
      <c r="F2274" s="13"/>
    </row>
    <row r="2275" ht="12.75">
      <c r="F2275" s="13"/>
    </row>
    <row r="2276" ht="12.75">
      <c r="F2276" s="13"/>
    </row>
    <row r="2277" ht="12.75">
      <c r="F2277" s="13"/>
    </row>
    <row r="2278" ht="12.75">
      <c r="F2278" s="13"/>
    </row>
    <row r="2279" ht="12.75">
      <c r="F2279" s="13"/>
    </row>
    <row r="2280" ht="12.75">
      <c r="F2280" s="13"/>
    </row>
    <row r="2281" ht="12.75">
      <c r="F2281" s="13"/>
    </row>
    <row r="2282" ht="12.75">
      <c r="F2282" s="13"/>
    </row>
    <row r="2283" ht="12.75">
      <c r="F2283" s="13"/>
    </row>
    <row r="2284" ht="12.75">
      <c r="F2284" s="13"/>
    </row>
    <row r="2285" ht="12.75">
      <c r="F2285" s="13"/>
    </row>
    <row r="2286" ht="12.75">
      <c r="F2286" s="13"/>
    </row>
    <row r="2287" ht="12.75">
      <c r="F2287" s="13"/>
    </row>
    <row r="2288" ht="12.75">
      <c r="F2288" s="13"/>
    </row>
  </sheetData>
  <sheetProtection password="C57E" sheet="1"/>
  <mergeCells count="26">
    <mergeCell ref="A54:B54"/>
    <mergeCell ref="A102:B102"/>
    <mergeCell ref="B48:C48"/>
    <mergeCell ref="B49:C49"/>
    <mergeCell ref="B50:C50"/>
    <mergeCell ref="B51:C51"/>
    <mergeCell ref="B52:C52"/>
    <mergeCell ref="B53:C53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128:C128"/>
    <mergeCell ref="B127:C127"/>
    <mergeCell ref="B79:C79"/>
    <mergeCell ref="B80:C80"/>
    <mergeCell ref="B126:C126"/>
  </mergeCells>
  <printOptions/>
  <pageMargins left="1" right="0.4" top="0.9" bottom="0.833333333333333" header="0.5" footer="0.333333333333333"/>
  <pageSetup horizontalDpi="300" verticalDpi="300" orientation="portrait" scale="95" r:id="rId3"/>
  <headerFooter alignWithMargins="0">
    <oddHeader xml:space="preserve">&amp;C&amp;"Arial,Bold"&amp;14Operating an On-Farm Boar Stud&amp;RPage &amp;P </oddHeader>
  </headerFooter>
  <rowBreaks count="7" manualBreakCount="7">
    <brk id="36" max="255" man="1"/>
    <brk id="90" max="255" man="1"/>
    <brk id="138" max="255" man="1"/>
    <brk id="181" max="255" man="1"/>
    <brk id="224" max="255" man="1"/>
    <brk id="271" max="255" man="1"/>
    <brk id="326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23"/>
  <sheetViews>
    <sheetView showOutlineSymbols="0" workbookViewId="0" topLeftCell="A1">
      <selection activeCell="A1" sqref="A1"/>
    </sheetView>
  </sheetViews>
  <sheetFormatPr defaultColWidth="9.140625" defaultRowHeight="12.75"/>
  <cols>
    <col min="1" max="1" width="32.421875" style="209" customWidth="1"/>
    <col min="2" max="2" width="9.140625" style="209" customWidth="1"/>
    <col min="3" max="3" width="9.421875" style="209" customWidth="1"/>
    <col min="4" max="4" width="11.140625" style="209" customWidth="1"/>
    <col min="5" max="5" width="12.28125" style="213" customWidth="1"/>
    <col min="6" max="6" width="9.421875" style="209" customWidth="1"/>
    <col min="7" max="7" width="11.140625" style="209" customWidth="1"/>
    <col min="8" max="8" width="9.140625" style="209" customWidth="1"/>
    <col min="9" max="9" width="11.28125" style="213" customWidth="1"/>
    <col min="10" max="16384" width="9.140625" style="209" customWidth="1"/>
  </cols>
  <sheetData>
    <row r="1" spans="1:9" ht="12.75">
      <c r="A1" s="206"/>
      <c r="B1" s="206"/>
      <c r="C1" s="206"/>
      <c r="D1" s="206"/>
      <c r="E1" s="207"/>
      <c r="F1" s="208"/>
      <c r="G1" s="208"/>
      <c r="I1" s="209"/>
    </row>
    <row r="2" spans="1:5" ht="12.75">
      <c r="A2" s="210" t="s">
        <v>415</v>
      </c>
      <c r="D2" s="211"/>
      <c r="E2" s="212" t="str">
        <f>(PRODUCTION!C4)</f>
        <v>Coop</v>
      </c>
    </row>
    <row r="3" spans="1:5" ht="12.75">
      <c r="A3" s="210"/>
      <c r="D3" s="211"/>
      <c r="E3" s="212" t="str">
        <f>(PRODUCTION!C5)</f>
        <v>Semen</v>
      </c>
    </row>
    <row r="4" spans="1:5" ht="12.75">
      <c r="A4" s="209" t="s">
        <v>820</v>
      </c>
      <c r="D4" s="213"/>
      <c r="E4" s="214">
        <v>5</v>
      </c>
    </row>
    <row r="5" spans="1:5" ht="12.75">
      <c r="A5" s="209" t="s">
        <v>508</v>
      </c>
      <c r="D5" s="213"/>
      <c r="E5" s="214">
        <v>60</v>
      </c>
    </row>
    <row r="6" spans="1:5" ht="12.75">
      <c r="A6" s="209" t="s">
        <v>509</v>
      </c>
      <c r="D6" s="213"/>
      <c r="E6" s="214">
        <v>0.4</v>
      </c>
    </row>
    <row r="7" spans="1:5" ht="12.75">
      <c r="A7" s="209" t="s">
        <v>741</v>
      </c>
      <c r="D7" s="213"/>
      <c r="E7" s="214">
        <v>2.33</v>
      </c>
    </row>
    <row r="8" spans="1:5" ht="12.75">
      <c r="A8" s="209" t="s">
        <v>511</v>
      </c>
      <c r="D8" s="215"/>
      <c r="E8" s="216">
        <v>10</v>
      </c>
    </row>
    <row r="9" spans="1:5" ht="12.75">
      <c r="A9" s="209" t="s">
        <v>512</v>
      </c>
      <c r="D9" s="215"/>
      <c r="E9" s="216">
        <v>0.06</v>
      </c>
    </row>
    <row r="10" spans="1:5" ht="12.75">
      <c r="A10" s="209" t="s">
        <v>513</v>
      </c>
      <c r="D10" s="213"/>
      <c r="E10" s="214">
        <v>6</v>
      </c>
    </row>
    <row r="11" spans="1:5" ht="12.75">
      <c r="A11" s="209" t="s">
        <v>514</v>
      </c>
      <c r="D11" s="215"/>
      <c r="E11" s="216">
        <v>1</v>
      </c>
    </row>
    <row r="12" spans="1:5" ht="12.75">
      <c r="A12" s="209" t="s">
        <v>515</v>
      </c>
      <c r="D12" s="217"/>
      <c r="E12" s="218">
        <v>120</v>
      </c>
    </row>
    <row r="13" spans="4:5" ht="12.75">
      <c r="D13" s="217"/>
      <c r="E13" s="219"/>
    </row>
    <row r="14" spans="1:5" ht="12.75">
      <c r="A14" s="210" t="s">
        <v>928</v>
      </c>
      <c r="D14" s="217"/>
      <c r="E14" s="219"/>
    </row>
    <row r="15" spans="1:5" ht="12.75">
      <c r="A15" s="209" t="s">
        <v>450</v>
      </c>
      <c r="C15" s="213"/>
      <c r="D15" s="213"/>
      <c r="E15" s="288">
        <f>(OnFarmStud!E14)</f>
        <v>250</v>
      </c>
    </row>
    <row r="16" spans="1:5" ht="12.75">
      <c r="A16" s="209" t="s">
        <v>451</v>
      </c>
      <c r="C16" s="213"/>
      <c r="D16" s="213"/>
      <c r="E16" s="289">
        <f>(OnFarmStud!E15)</f>
        <v>0.28</v>
      </c>
    </row>
    <row r="17" spans="1:7" ht="12.75">
      <c r="A17" s="206"/>
      <c r="B17" s="206"/>
      <c r="C17" s="206"/>
      <c r="D17" s="206"/>
      <c r="E17" s="207"/>
      <c r="F17" s="208"/>
      <c r="G17" s="208"/>
    </row>
    <row r="18" spans="3:5" ht="12.75">
      <c r="C18" s="213"/>
      <c r="D18" s="213"/>
      <c r="E18" s="221"/>
    </row>
    <row r="19" spans="1:7" ht="15.75">
      <c r="A19" s="302" t="s">
        <v>833</v>
      </c>
      <c r="B19" s="297"/>
      <c r="C19" s="297"/>
      <c r="D19" s="297"/>
      <c r="E19" s="297"/>
      <c r="F19" s="297"/>
      <c r="G19" s="297"/>
    </row>
    <row r="20" spans="1:7" ht="12.75">
      <c r="A20" s="206"/>
      <c r="B20" s="206"/>
      <c r="C20" s="206"/>
      <c r="D20" s="206"/>
      <c r="E20" s="207"/>
      <c r="F20" s="208"/>
      <c r="G20" s="208"/>
    </row>
    <row r="21" spans="1:5" ht="12.75">
      <c r="A21" s="209" t="s">
        <v>518</v>
      </c>
      <c r="C21" s="213"/>
      <c r="E21" s="222">
        <f>(PRODUCTION!C6)</f>
        <v>365</v>
      </c>
    </row>
    <row r="22" spans="1:5" ht="12.75">
      <c r="A22" s="209" t="s">
        <v>413</v>
      </c>
      <c r="E22" s="223">
        <f>INT(PRODUCTION!C68)+1</f>
        <v>21</v>
      </c>
    </row>
    <row r="23" spans="1:5" ht="12.75">
      <c r="A23" s="209" t="s">
        <v>520</v>
      </c>
      <c r="C23" s="213"/>
      <c r="E23" s="223">
        <f>(PRODUCTION!C73)</f>
        <v>26.70179640718563</v>
      </c>
    </row>
    <row r="24" spans="1:5" ht="12.75">
      <c r="A24" s="209" t="s">
        <v>521</v>
      </c>
      <c r="C24" s="213"/>
      <c r="E24" s="223">
        <f>(PRODUCTION!C75)</f>
        <v>287.4251497005988</v>
      </c>
    </row>
    <row r="25" spans="1:5" ht="12.75">
      <c r="A25" s="209" t="s">
        <v>522</v>
      </c>
      <c r="C25" s="222"/>
      <c r="E25" s="222">
        <f>(PRODUCTION!C35)</f>
        <v>2</v>
      </c>
    </row>
    <row r="26" spans="1:5" ht="12.75">
      <c r="A26" s="209" t="s">
        <v>523</v>
      </c>
      <c r="C26" s="222"/>
      <c r="D26" s="213"/>
      <c r="E26" s="223">
        <f>(PRODUCTION!C64)</f>
        <v>574.8502994011976</v>
      </c>
    </row>
    <row r="27" spans="1:5" ht="12.75">
      <c r="A27" s="209" t="s">
        <v>524</v>
      </c>
      <c r="C27" s="222"/>
      <c r="D27" s="213"/>
      <c r="E27" s="224">
        <f>(PRODUCTION!C6)/(PRODUCTION!C26)</f>
        <v>52.142857142857146</v>
      </c>
    </row>
    <row r="28" spans="1:5" ht="12.75">
      <c r="A28" s="209" t="s">
        <v>525</v>
      </c>
      <c r="C28" s="222"/>
      <c r="D28" s="213"/>
      <c r="E28" s="224">
        <f>(PRODUCTION!C39)</f>
        <v>15</v>
      </c>
    </row>
    <row r="29" spans="1:5" ht="12.75">
      <c r="A29" s="209" t="s">
        <v>526</v>
      </c>
      <c r="C29" s="222"/>
      <c r="D29" s="213"/>
      <c r="E29" s="223">
        <f>(E26/E28)*E27</f>
        <v>1998.2891360136873</v>
      </c>
    </row>
    <row r="30" spans="1:5" ht="12.75">
      <c r="A30" s="209" t="s">
        <v>527</v>
      </c>
      <c r="C30" s="222"/>
      <c r="E30" s="223">
        <f>(PRODUCTION!C120)</f>
        <v>14987.168520102654</v>
      </c>
    </row>
    <row r="31" spans="1:5" ht="12.75">
      <c r="A31" s="209" t="s">
        <v>528</v>
      </c>
      <c r="C31" s="222"/>
      <c r="D31" s="213"/>
      <c r="E31" s="223">
        <f>E25*E30</f>
        <v>29974.337040205308</v>
      </c>
    </row>
    <row r="32" spans="1:5" ht="12.75">
      <c r="A32" s="209" t="s">
        <v>530</v>
      </c>
      <c r="C32" s="222"/>
      <c r="E32" s="225">
        <f>(PRODUCTION!C130)</f>
        <v>9.500399999999997</v>
      </c>
    </row>
    <row r="33" spans="1:9" ht="12.75">
      <c r="A33" s="209" t="s">
        <v>531</v>
      </c>
      <c r="C33" s="222"/>
      <c r="D33" s="213"/>
      <c r="E33" s="223">
        <f>(PRODUCTION!C129)</f>
        <v>2280.0959999999995</v>
      </c>
      <c r="I33" s="226"/>
    </row>
    <row r="34" spans="1:5" ht="12.75">
      <c r="A34" s="209" t="s">
        <v>865</v>
      </c>
      <c r="C34" s="222"/>
      <c r="E34" s="223">
        <f>(PRODUCTION!C134)</f>
        <v>118890</v>
      </c>
    </row>
    <row r="35" spans="1:5" ht="12.75">
      <c r="A35" s="209" t="s">
        <v>532</v>
      </c>
      <c r="C35" s="222"/>
      <c r="E35" s="223">
        <f>(PRODUCTION!C135)</f>
        <v>115917</v>
      </c>
    </row>
    <row r="36" spans="1:7" ht="12.75">
      <c r="A36" s="206"/>
      <c r="B36" s="206"/>
      <c r="C36" s="206"/>
      <c r="D36" s="206"/>
      <c r="E36" s="206"/>
      <c r="F36" s="208"/>
      <c r="G36" s="208"/>
    </row>
    <row r="37" spans="1:7" ht="15.75">
      <c r="A37" s="301" t="s">
        <v>417</v>
      </c>
      <c r="B37" s="297"/>
      <c r="C37" s="297"/>
      <c r="D37" s="297"/>
      <c r="E37" s="297"/>
      <c r="F37" s="297"/>
      <c r="G37" s="297"/>
    </row>
    <row r="38" spans="1:7" ht="12.75">
      <c r="A38" s="206"/>
      <c r="B38" s="206"/>
      <c r="C38" s="206"/>
      <c r="D38" s="206"/>
      <c r="E38" s="207"/>
      <c r="F38" s="206"/>
      <c r="G38" s="206"/>
    </row>
    <row r="39" spans="3:7" ht="12.75">
      <c r="C39" s="213" t="s">
        <v>718</v>
      </c>
      <c r="D39" s="213" t="s">
        <v>727</v>
      </c>
      <c r="E39" s="213" t="s">
        <v>733</v>
      </c>
      <c r="F39" s="213" t="s">
        <v>727</v>
      </c>
      <c r="G39" s="213" t="s">
        <v>740</v>
      </c>
    </row>
    <row r="40" spans="3:7" ht="12.75">
      <c r="C40" s="213" t="s">
        <v>719</v>
      </c>
      <c r="D40" s="213" t="s">
        <v>728</v>
      </c>
      <c r="E40" s="213" t="s">
        <v>728</v>
      </c>
      <c r="F40" s="213" t="s">
        <v>738</v>
      </c>
      <c r="G40" s="213" t="s">
        <v>738</v>
      </c>
    </row>
    <row r="41" spans="1:7" ht="12.75">
      <c r="A41" s="210" t="s">
        <v>533</v>
      </c>
      <c r="C41" s="213" t="s">
        <v>722</v>
      </c>
      <c r="D41" s="213" t="s">
        <v>729</v>
      </c>
      <c r="E41" s="213" t="s">
        <v>734</v>
      </c>
      <c r="F41" s="213" t="s">
        <v>739</v>
      </c>
      <c r="G41" s="213" t="s">
        <v>892</v>
      </c>
    </row>
    <row r="42" ht="12.75">
      <c r="A42" s="228" t="s">
        <v>534</v>
      </c>
    </row>
    <row r="43" spans="1:7" ht="12.75">
      <c r="A43" s="209" t="s">
        <v>535</v>
      </c>
      <c r="C43" s="214">
        <v>5</v>
      </c>
      <c r="D43" s="214">
        <v>1</v>
      </c>
      <c r="E43" s="218">
        <v>452</v>
      </c>
      <c r="F43" s="214">
        <v>1</v>
      </c>
      <c r="G43" s="215">
        <f>IF(F43&gt;0,(((E43*F43)/C43)/365)*(PRODUCTION!C$6),0)</f>
        <v>90.4</v>
      </c>
    </row>
    <row r="44" spans="1:7" ht="12.75">
      <c r="A44" s="209" t="s">
        <v>536</v>
      </c>
      <c r="C44" s="214">
        <v>3</v>
      </c>
      <c r="D44" s="214">
        <v>1</v>
      </c>
      <c r="E44" s="218">
        <v>99</v>
      </c>
      <c r="F44" s="214">
        <v>1</v>
      </c>
      <c r="G44" s="215">
        <f>IF(F44&gt;0,(((E44*F44)/C44)/365)*(PRODUCTION!C$6),0)</f>
        <v>33</v>
      </c>
    </row>
    <row r="45" spans="1:7" ht="12.75">
      <c r="A45" s="209" t="s">
        <v>537</v>
      </c>
      <c r="C45" s="214">
        <v>2</v>
      </c>
      <c r="D45" s="214">
        <v>1</v>
      </c>
      <c r="E45" s="216">
        <v>4.75</v>
      </c>
      <c r="F45" s="214">
        <v>4</v>
      </c>
      <c r="G45" s="215">
        <f>IF(F45&gt;0,(((E45*F45)/C45)/365)*(PRODUCTION!C$6),0)</f>
        <v>9.5</v>
      </c>
    </row>
    <row r="46" spans="1:7" ht="12.75">
      <c r="A46" s="209" t="s">
        <v>538</v>
      </c>
      <c r="C46" s="214">
        <v>5</v>
      </c>
      <c r="D46" s="214">
        <v>1</v>
      </c>
      <c r="E46" s="218">
        <v>360</v>
      </c>
      <c r="F46" s="214">
        <v>1</v>
      </c>
      <c r="G46" s="215">
        <f>IF(F46&gt;0,(((E46*F46)/C46)/365)*(PRODUCTION!C$6),0)</f>
        <v>72</v>
      </c>
    </row>
    <row r="47" spans="4:7" ht="12.75">
      <c r="D47" s="222" t="s">
        <v>730</v>
      </c>
      <c r="E47" s="140">
        <f>IF(F43&gt;0,E43*F43,0)+IF(F44&gt;0,E44*F44,0)+IF(F45&gt;0,E45*F45,0)+IF(F46&gt;0,E46*F46,0)</f>
        <v>930</v>
      </c>
      <c r="F47" s="230"/>
      <c r="G47" s="231">
        <f>SUM(G43:G46)</f>
        <v>204.9</v>
      </c>
    </row>
    <row r="48" spans="1:7" ht="12.75">
      <c r="A48" s="228" t="s">
        <v>539</v>
      </c>
      <c r="B48" s="299" t="s">
        <v>309</v>
      </c>
      <c r="C48" s="298"/>
      <c r="D48" s="222"/>
      <c r="E48" s="232"/>
      <c r="F48" s="222"/>
      <c r="G48" s="215"/>
    </row>
    <row r="49" spans="1:7" ht="12.75">
      <c r="A49" s="209" t="s">
        <v>540</v>
      </c>
      <c r="B49" s="296">
        <v>0.5</v>
      </c>
      <c r="C49" s="298"/>
      <c r="D49" s="214">
        <v>1000</v>
      </c>
      <c r="E49" s="218">
        <v>99</v>
      </c>
      <c r="F49" s="233">
        <f>E$29</f>
        <v>1998.2891360136873</v>
      </c>
      <c r="G49" s="215">
        <f>IF(D49&gt;0,(E49/D49)*F49,0)</f>
        <v>197.83062446535504</v>
      </c>
    </row>
    <row r="50" spans="1:7" ht="12.75">
      <c r="A50" s="209" t="s">
        <v>541</v>
      </c>
      <c r="B50" s="296">
        <v>0.5</v>
      </c>
      <c r="C50" s="298"/>
      <c r="D50" s="214">
        <v>500</v>
      </c>
      <c r="E50" s="218">
        <v>80</v>
      </c>
      <c r="F50" s="233">
        <f>E$29</f>
        <v>1998.2891360136873</v>
      </c>
      <c r="G50" s="215">
        <f>IF(D50&gt;0,(E50/D50)*F50,0)</f>
        <v>319.72626176218995</v>
      </c>
    </row>
    <row r="51" spans="1:7" ht="12.75">
      <c r="A51" s="209" t="s">
        <v>542</v>
      </c>
      <c r="B51" s="296">
        <v>0.5</v>
      </c>
      <c r="C51" s="298"/>
      <c r="D51" s="214">
        <v>100</v>
      </c>
      <c r="E51" s="216">
        <v>1.1</v>
      </c>
      <c r="F51" s="233">
        <f>E$29</f>
        <v>1998.2891360136873</v>
      </c>
      <c r="G51" s="215">
        <f>IF(D51&gt;0,(E51/D51)*F51,0)</f>
        <v>21.981180496150564</v>
      </c>
    </row>
    <row r="52" spans="1:7" ht="12.75">
      <c r="A52" s="209" t="s">
        <v>543</v>
      </c>
      <c r="B52" s="296">
        <v>0.5</v>
      </c>
      <c r="C52" s="298"/>
      <c r="D52" s="214">
        <v>100</v>
      </c>
      <c r="E52" s="216">
        <v>14.5</v>
      </c>
      <c r="F52" s="233">
        <f>E$29</f>
        <v>1998.2891360136873</v>
      </c>
      <c r="G52" s="215">
        <f>IF(D52&gt;0,(E52/D52)*F52,0)</f>
        <v>289.75192472198466</v>
      </c>
    </row>
    <row r="53" spans="1:7" ht="12.75">
      <c r="A53" s="209" t="s">
        <v>544</v>
      </c>
      <c r="B53" s="296">
        <v>0.5</v>
      </c>
      <c r="C53" s="298"/>
      <c r="D53" s="214">
        <v>1000</v>
      </c>
      <c r="E53" s="216">
        <v>39</v>
      </c>
      <c r="F53" s="233">
        <f>E$29</f>
        <v>1998.2891360136873</v>
      </c>
      <c r="G53" s="215">
        <f>IF(D53&gt;0,(E53/D53)*F53,0)</f>
        <v>77.9332763045338</v>
      </c>
    </row>
    <row r="54" spans="3:7" ht="12.75">
      <c r="C54" s="234"/>
      <c r="D54" s="222" t="s">
        <v>730</v>
      </c>
      <c r="E54" s="22">
        <f>IF(F49&gt;0,G49*B49,0)+IF(F50&gt;0,G50*B50,0)+IF(F51&gt;0,G51*B51,0)+IF(F52&gt;0,G52*B52,0)+IF(F53&gt;0,G53*B53,0)</f>
        <v>453.61163387510703</v>
      </c>
      <c r="F54" s="234"/>
      <c r="G54" s="231">
        <f>SUM(G49:G53)</f>
        <v>907.2232677502141</v>
      </c>
    </row>
    <row r="55" spans="3:6" ht="12.75">
      <c r="C55" s="222"/>
      <c r="D55" s="232"/>
      <c r="E55" s="222"/>
      <c r="F55" s="232"/>
    </row>
    <row r="56" spans="1:6" ht="12.75">
      <c r="A56" s="210" t="s">
        <v>545</v>
      </c>
      <c r="C56" s="222"/>
      <c r="D56" s="232"/>
      <c r="E56" s="222"/>
      <c r="F56" s="232"/>
    </row>
    <row r="57" spans="1:6" ht="12.75">
      <c r="A57" s="228" t="s">
        <v>534</v>
      </c>
      <c r="C57" s="234"/>
      <c r="D57" s="234"/>
      <c r="E57" s="222"/>
      <c r="F57" s="232"/>
    </row>
    <row r="58" spans="1:7" ht="12.75">
      <c r="A58" s="209" t="s">
        <v>546</v>
      </c>
      <c r="C58" s="214">
        <v>5</v>
      </c>
      <c r="D58" s="214">
        <v>1</v>
      </c>
      <c r="E58" s="218">
        <v>1975</v>
      </c>
      <c r="F58" s="214">
        <v>1</v>
      </c>
      <c r="G58" s="217">
        <f>IF(F58&gt;0,(((E58*F58)/C58)/365)*(PRODUCTION!C$6),0)</f>
        <v>395.00000000000006</v>
      </c>
    </row>
    <row r="59" spans="1:7" ht="12.75">
      <c r="A59" s="209" t="s">
        <v>547</v>
      </c>
      <c r="C59" s="214">
        <v>5</v>
      </c>
      <c r="D59" s="214">
        <v>1</v>
      </c>
      <c r="E59" s="218">
        <v>725</v>
      </c>
      <c r="F59" s="214">
        <v>1</v>
      </c>
      <c r="G59" s="217">
        <f>IF(F59&gt;0,(((E59*F59)/C59)/365)*(PRODUCTION!C$6),0)</f>
        <v>145</v>
      </c>
    </row>
    <row r="60" spans="1:7" ht="12.75">
      <c r="A60" s="209" t="s">
        <v>548</v>
      </c>
      <c r="C60" s="214">
        <v>5</v>
      </c>
      <c r="D60" s="214">
        <v>1</v>
      </c>
      <c r="E60" s="218">
        <v>360</v>
      </c>
      <c r="F60" s="214">
        <v>1</v>
      </c>
      <c r="G60" s="217">
        <f>IF(F60&gt;0,(((E60*F60)/C60)/365)*(PRODUCTION!C$6),0)</f>
        <v>72</v>
      </c>
    </row>
    <row r="61" spans="1:7" ht="12.75">
      <c r="A61" s="209" t="s">
        <v>835</v>
      </c>
      <c r="C61" s="214">
        <v>5</v>
      </c>
      <c r="D61" s="214">
        <v>1</v>
      </c>
      <c r="E61" s="218">
        <v>235</v>
      </c>
      <c r="F61" s="214">
        <v>1</v>
      </c>
      <c r="G61" s="217">
        <f>IF(F61&gt;0,(((E61*F61)/C61)/365)*(PRODUCTION!C$6),0)</f>
        <v>47</v>
      </c>
    </row>
    <row r="62" spans="1:7" ht="12.75">
      <c r="A62" s="209" t="s">
        <v>549</v>
      </c>
      <c r="C62" s="214">
        <v>3</v>
      </c>
      <c r="D62" s="214">
        <v>1</v>
      </c>
      <c r="E62" s="216">
        <v>4.33</v>
      </c>
      <c r="F62" s="214">
        <v>4</v>
      </c>
      <c r="G62" s="217">
        <f>IF(F62&gt;0,(((E62*F62)/C62)/365)*(PRODUCTION!C$6),0)</f>
        <v>5.7733333333333325</v>
      </c>
    </row>
    <row r="63" spans="1:7" ht="12.75">
      <c r="A63" s="209" t="s">
        <v>550</v>
      </c>
      <c r="C63" s="214">
        <v>3</v>
      </c>
      <c r="D63" s="214">
        <v>1</v>
      </c>
      <c r="E63" s="216">
        <v>4.33</v>
      </c>
      <c r="F63" s="214">
        <v>2</v>
      </c>
      <c r="G63" s="217">
        <f>IF(F63&gt;0,(((E63*F63)/C63)/365)*(PRODUCTION!C$6),0)</f>
        <v>2.8866666666666663</v>
      </c>
    </row>
    <row r="64" spans="1:7" ht="12.75">
      <c r="A64" s="209" t="s">
        <v>551</v>
      </c>
      <c r="C64" s="214">
        <v>3</v>
      </c>
      <c r="D64" s="214">
        <v>1</v>
      </c>
      <c r="E64" s="216">
        <v>4.33</v>
      </c>
      <c r="F64" s="214">
        <v>2</v>
      </c>
      <c r="G64" s="217">
        <f>IF(F64&gt;0,(((E64*F64)/C64)/365)*(PRODUCTION!C$6),0)</f>
        <v>2.8866666666666663</v>
      </c>
    </row>
    <row r="65" spans="1:7" ht="12.75">
      <c r="A65" s="209" t="s">
        <v>552</v>
      </c>
      <c r="C65" s="214">
        <v>5</v>
      </c>
      <c r="D65" s="214">
        <v>1</v>
      </c>
      <c r="E65" s="216">
        <v>12.75</v>
      </c>
      <c r="F65" s="214">
        <v>3</v>
      </c>
      <c r="G65" s="217">
        <f>IF(F65&gt;0,(((E65*F65)/C65)/365)*(PRODUCTION!C$6),0)</f>
        <v>7.65</v>
      </c>
    </row>
    <row r="66" spans="4:7" ht="12.75">
      <c r="D66" s="213" t="s">
        <v>730</v>
      </c>
      <c r="E66" s="140">
        <f>IF(F58&gt;0,E58*F58,0)+IF(F59&gt;0,E59*F59,0)+IF(F60&gt;0,E60*F60,0)+IF(F61&gt;0,E61*F61,0)+IF(F62&gt;0,E62*F62,0)+IF(F63&gt;0,E63*F63,0)+IF(F64&gt;0,E64*F64,0)+IF(F65&gt;0,E65*F65,0)</f>
        <v>3367.89</v>
      </c>
      <c r="F66" s="222"/>
      <c r="G66" s="229">
        <f>SUM(G58:G65)</f>
        <v>678.1966666666666</v>
      </c>
    </row>
    <row r="67" spans="1:7" ht="12.75">
      <c r="A67" s="228" t="s">
        <v>539</v>
      </c>
      <c r="B67" s="299" t="s">
        <v>309</v>
      </c>
      <c r="C67" s="298"/>
      <c r="F67" s="232"/>
      <c r="G67" s="234"/>
    </row>
    <row r="68" spans="1:7" ht="12.75">
      <c r="A68" s="209" t="s">
        <v>553</v>
      </c>
      <c r="B68" s="296">
        <v>1</v>
      </c>
      <c r="C68" s="297"/>
      <c r="D68" s="214">
        <v>1</v>
      </c>
      <c r="E68" s="216">
        <v>25</v>
      </c>
      <c r="F68" s="214">
        <v>2</v>
      </c>
      <c r="G68" s="215">
        <f aca="true" t="shared" si="0" ref="G68:G73">IF(F68&gt;0,(E68/D68)*F68,0)</f>
        <v>50</v>
      </c>
    </row>
    <row r="69" spans="1:7" ht="12.75">
      <c r="A69" s="209" t="s">
        <v>554</v>
      </c>
      <c r="B69" s="296">
        <v>1</v>
      </c>
      <c r="C69" s="297"/>
      <c r="D69" s="214">
        <v>1</v>
      </c>
      <c r="E69" s="216">
        <v>15.7</v>
      </c>
      <c r="F69" s="214">
        <v>2</v>
      </c>
      <c r="G69" s="215">
        <f t="shared" si="0"/>
        <v>31.4</v>
      </c>
    </row>
    <row r="70" spans="1:7" ht="12.75">
      <c r="A70" s="209" t="s">
        <v>555</v>
      </c>
      <c r="B70" s="296">
        <v>1</v>
      </c>
      <c r="C70" s="297"/>
      <c r="D70" s="214">
        <v>1</v>
      </c>
      <c r="E70" s="216">
        <v>16</v>
      </c>
      <c r="F70" s="214">
        <v>1</v>
      </c>
      <c r="G70" s="215">
        <f t="shared" si="0"/>
        <v>16</v>
      </c>
    </row>
    <row r="71" spans="1:7" ht="12.75">
      <c r="A71" s="209" t="s">
        <v>556</v>
      </c>
      <c r="B71" s="296">
        <v>1</v>
      </c>
      <c r="C71" s="297"/>
      <c r="D71" s="220">
        <v>1</v>
      </c>
      <c r="E71" s="235">
        <v>45</v>
      </c>
      <c r="F71" s="220">
        <v>1</v>
      </c>
      <c r="G71" s="215">
        <f t="shared" si="0"/>
        <v>45</v>
      </c>
    </row>
    <row r="72" spans="1:7" ht="12.75">
      <c r="A72" s="209" t="s">
        <v>557</v>
      </c>
      <c r="B72" s="296">
        <v>1</v>
      </c>
      <c r="C72" s="297"/>
      <c r="D72" s="214">
        <v>1</v>
      </c>
      <c r="E72" s="216">
        <v>2.25</v>
      </c>
      <c r="F72" s="214">
        <v>2</v>
      </c>
      <c r="G72" s="215">
        <f t="shared" si="0"/>
        <v>4.5</v>
      </c>
    </row>
    <row r="73" spans="1:7" ht="12.75">
      <c r="A73" s="209" t="s">
        <v>558</v>
      </c>
      <c r="B73" s="296">
        <v>1</v>
      </c>
      <c r="C73" s="297"/>
      <c r="D73" s="214">
        <v>1</v>
      </c>
      <c r="E73" s="216">
        <v>9.5</v>
      </c>
      <c r="F73" s="214">
        <v>6</v>
      </c>
      <c r="G73" s="215">
        <f t="shared" si="0"/>
        <v>57</v>
      </c>
    </row>
    <row r="74" spans="1:7" ht="12.75">
      <c r="A74" s="209" t="s">
        <v>559</v>
      </c>
      <c r="B74" s="296">
        <v>1</v>
      </c>
      <c r="C74" s="297"/>
      <c r="D74" s="214">
        <v>280</v>
      </c>
      <c r="E74" s="216">
        <v>2.85</v>
      </c>
      <c r="F74" s="233">
        <f aca="true" t="shared" si="1" ref="F74:F81">F$49</f>
        <v>1998.2891360136873</v>
      </c>
      <c r="G74" s="215">
        <f>IF(D74&gt;0,(E74/D74)*F74,0)</f>
        <v>20.339728705853606</v>
      </c>
    </row>
    <row r="75" spans="1:7" ht="12.75">
      <c r="A75" s="209" t="s">
        <v>560</v>
      </c>
      <c r="B75" s="296">
        <v>1</v>
      </c>
      <c r="C75" s="297"/>
      <c r="D75" s="214">
        <v>0</v>
      </c>
      <c r="E75" s="216">
        <v>63.5</v>
      </c>
      <c r="F75" s="233">
        <f t="shared" si="1"/>
        <v>1998.2891360136873</v>
      </c>
      <c r="G75" s="217">
        <f aca="true" t="shared" si="2" ref="G75:G81">IF(D75&gt;0,(E75/D75)*F75,0)</f>
        <v>0</v>
      </c>
    </row>
    <row r="76" spans="1:7" ht="12.75">
      <c r="A76" s="209" t="s">
        <v>561</v>
      </c>
      <c r="B76" s="296">
        <v>1</v>
      </c>
      <c r="C76" s="297"/>
      <c r="D76" s="214">
        <v>1000</v>
      </c>
      <c r="E76" s="216">
        <v>39</v>
      </c>
      <c r="F76" s="233">
        <f t="shared" si="1"/>
        <v>1998.2891360136873</v>
      </c>
      <c r="G76" s="215">
        <f t="shared" si="2"/>
        <v>77.9332763045338</v>
      </c>
    </row>
    <row r="77" spans="1:7" ht="12.75">
      <c r="A77" s="209" t="s">
        <v>562</v>
      </c>
      <c r="B77" s="296">
        <v>1</v>
      </c>
      <c r="C77" s="297"/>
      <c r="D77" s="214">
        <v>1000</v>
      </c>
      <c r="E77" s="216">
        <v>37.5</v>
      </c>
      <c r="F77" s="233">
        <f t="shared" si="1"/>
        <v>1998.2891360136873</v>
      </c>
      <c r="G77" s="215">
        <f t="shared" si="2"/>
        <v>74.93584260051327</v>
      </c>
    </row>
    <row r="78" spans="1:7" ht="12.75">
      <c r="A78" s="209" t="s">
        <v>563</v>
      </c>
      <c r="B78" s="296">
        <v>1</v>
      </c>
      <c r="C78" s="297"/>
      <c r="D78" s="214">
        <v>50</v>
      </c>
      <c r="E78" s="216">
        <v>3.5</v>
      </c>
      <c r="F78" s="233">
        <f t="shared" si="1"/>
        <v>1998.2891360136873</v>
      </c>
      <c r="G78" s="215">
        <f t="shared" si="2"/>
        <v>139.88023952095813</v>
      </c>
    </row>
    <row r="79" spans="1:7" ht="12.75">
      <c r="A79" s="209" t="s">
        <v>564</v>
      </c>
      <c r="B79" s="296">
        <v>1</v>
      </c>
      <c r="C79" s="297"/>
      <c r="D79" s="214">
        <v>50</v>
      </c>
      <c r="E79" s="216">
        <v>15</v>
      </c>
      <c r="F79" s="233">
        <f t="shared" si="1"/>
        <v>1998.2891360136873</v>
      </c>
      <c r="G79" s="215">
        <f t="shared" si="2"/>
        <v>599.4867408041061</v>
      </c>
    </row>
    <row r="80" spans="1:7" ht="12.75">
      <c r="A80" s="209" t="s">
        <v>565</v>
      </c>
      <c r="B80" s="296">
        <v>1</v>
      </c>
      <c r="C80" s="297"/>
      <c r="D80" s="214">
        <v>100</v>
      </c>
      <c r="E80" s="216">
        <v>2.1</v>
      </c>
      <c r="F80" s="233">
        <f t="shared" si="1"/>
        <v>1998.2891360136873</v>
      </c>
      <c r="G80" s="215">
        <f t="shared" si="2"/>
        <v>41.96407185628743</v>
      </c>
    </row>
    <row r="81" spans="1:9" ht="12.75">
      <c r="A81" s="209" t="s">
        <v>566</v>
      </c>
      <c r="B81" s="296">
        <v>1</v>
      </c>
      <c r="C81" s="297"/>
      <c r="D81" s="214">
        <v>200</v>
      </c>
      <c r="E81" s="216">
        <v>8.5</v>
      </c>
      <c r="F81" s="233">
        <f t="shared" si="1"/>
        <v>1998.2891360136873</v>
      </c>
      <c r="G81" s="215">
        <f t="shared" si="2"/>
        <v>84.92728828058172</v>
      </c>
      <c r="I81" s="226"/>
    </row>
    <row r="82" spans="4:7" ht="12.75">
      <c r="D82" s="213" t="s">
        <v>730</v>
      </c>
      <c r="E82" s="140">
        <f>IF(F68&gt;0,G68*B68,0)+IF(F69&gt;0,G69*B69,0)+IF(F70&gt;0,G70*B70,0)+IF(F71&gt;0,G71*B71,0)+IF(F72&gt;0,G72*B72,0)+IF(F73&gt;0,G73*B73,0)+IF(F74&gt;0,G74*B74,0)+IF(F75&gt;0,G75*B75,0)+IF(F76&gt;0,G76*B76,0)+IF(F77&gt;0,G77*B77,0)+IF(F78&gt;0,G78*B78,0)+IF(F79&gt;0,G79*B79,0)+IF(F80&gt;0,G80*B80,0)+IF(F81&gt;0,G81*B81,0)</f>
        <v>1243.3671880728343</v>
      </c>
      <c r="G82" s="237">
        <f>SUM(G68:G81)</f>
        <v>1243.3671880728343</v>
      </c>
    </row>
    <row r="83" spans="1:7" ht="12.75">
      <c r="A83" s="210" t="s">
        <v>742</v>
      </c>
      <c r="D83" s="213"/>
      <c r="E83" s="231"/>
      <c r="G83" s="229"/>
    </row>
    <row r="84" spans="1:9" ht="12.75">
      <c r="A84" s="228" t="s">
        <v>568</v>
      </c>
      <c r="I84" s="238"/>
    </row>
    <row r="85" spans="1:9" ht="12.75">
      <c r="A85" s="209" t="s">
        <v>569</v>
      </c>
      <c r="C85" s="214">
        <v>5</v>
      </c>
      <c r="D85" s="214">
        <v>1</v>
      </c>
      <c r="E85" s="218">
        <v>525</v>
      </c>
      <c r="F85" s="214">
        <v>1</v>
      </c>
      <c r="G85" s="215">
        <f>IF(F85&gt;0,(((E85/D85)*F85)/(C85)/365)*(PRODUCTION!C$6),0)</f>
        <v>105</v>
      </c>
      <c r="I85" s="215"/>
    </row>
    <row r="86" spans="1:9" ht="12.75">
      <c r="A86" s="209" t="s">
        <v>570</v>
      </c>
      <c r="C86" s="214">
        <v>5</v>
      </c>
      <c r="D86" s="214">
        <v>1</v>
      </c>
      <c r="E86" s="218">
        <v>235</v>
      </c>
      <c r="F86" s="214">
        <v>1</v>
      </c>
      <c r="G86" s="215">
        <f>IF(F86&gt;0,(((E86/D86)*F86)/(C86)/365)*(PRODUCTION!C$6),0)</f>
        <v>47</v>
      </c>
      <c r="I86" s="215"/>
    </row>
    <row r="87" spans="1:7" ht="12.75">
      <c r="A87" s="209" t="s">
        <v>571</v>
      </c>
      <c r="C87" s="214">
        <v>5</v>
      </c>
      <c r="D87" s="214">
        <v>1</v>
      </c>
      <c r="E87" s="216">
        <v>10</v>
      </c>
      <c r="F87" s="214">
        <v>3</v>
      </c>
      <c r="G87" s="215">
        <f>IF(F87&gt;0,(((E87/D87)*F87)/(C87)/365)*(PRODUCTION!C$6),0)</f>
        <v>5.999999999999999</v>
      </c>
    </row>
    <row r="88" spans="1:7" ht="12.75">
      <c r="A88" s="209" t="s">
        <v>572</v>
      </c>
      <c r="C88" s="214">
        <v>5</v>
      </c>
      <c r="D88" s="214">
        <v>1</v>
      </c>
      <c r="E88" s="235">
        <v>139</v>
      </c>
      <c r="F88" s="214">
        <v>2</v>
      </c>
      <c r="G88" s="215">
        <f>IF(F88&gt;0,(((E88/D88)*F88)/(C88)/365)*(PRODUCTION!C$6),0)</f>
        <v>55.599999999999994</v>
      </c>
    </row>
    <row r="89" spans="1:7" ht="12.75">
      <c r="A89" s="209" t="s">
        <v>573</v>
      </c>
      <c r="C89" s="214">
        <v>5</v>
      </c>
      <c r="D89" s="214">
        <v>1</v>
      </c>
      <c r="E89" s="216">
        <v>8.75</v>
      </c>
      <c r="F89" s="214">
        <v>1</v>
      </c>
      <c r="G89" s="215">
        <f>IF(F89&gt;0,(((E89/D89)*F89)/(C89)/365)*(PRODUCTION!C$6),0)</f>
        <v>1.75</v>
      </c>
    </row>
    <row r="90" spans="4:7" ht="12.75">
      <c r="D90" s="213" t="s">
        <v>730</v>
      </c>
      <c r="E90" s="140">
        <f>IF(F85&gt;0,E85*F85,0)+IF(F86&gt;0,E86*F86,0)+IF(F87&gt;0,E87*F87,0)+IF(F88&gt;0,E88*F88,0)+IF(F89&gt;0,E89*F89,0)</f>
        <v>1076.75</v>
      </c>
      <c r="F90" s="233"/>
      <c r="G90" s="229">
        <f>SUM(G85:G89)</f>
        <v>215.35</v>
      </c>
    </row>
    <row r="91" spans="1:7" ht="12.75">
      <c r="A91" s="206"/>
      <c r="B91" s="206"/>
      <c r="C91" s="206"/>
      <c r="D91" s="206"/>
      <c r="E91" s="207"/>
      <c r="F91" s="206"/>
      <c r="G91" s="206"/>
    </row>
    <row r="92" spans="1:7" ht="15.75">
      <c r="A92" s="301" t="s">
        <v>417</v>
      </c>
      <c r="B92" s="297"/>
      <c r="C92" s="297"/>
      <c r="D92" s="297"/>
      <c r="E92" s="297"/>
      <c r="F92" s="297"/>
      <c r="G92" s="297"/>
    </row>
    <row r="93" spans="1:7" ht="12.75">
      <c r="A93" s="239"/>
      <c r="B93" s="239"/>
      <c r="C93" s="239"/>
      <c r="D93" s="239"/>
      <c r="E93" s="240"/>
      <c r="F93" s="239"/>
      <c r="G93" s="239"/>
    </row>
    <row r="94" spans="3:7" ht="12.75">
      <c r="C94" s="213" t="s">
        <v>718</v>
      </c>
      <c r="D94" s="213" t="s">
        <v>727</v>
      </c>
      <c r="E94" s="213" t="s">
        <v>733</v>
      </c>
      <c r="F94" s="213" t="s">
        <v>727</v>
      </c>
      <c r="G94" s="213" t="s">
        <v>740</v>
      </c>
    </row>
    <row r="95" spans="3:7" ht="12.75">
      <c r="C95" s="213" t="s">
        <v>719</v>
      </c>
      <c r="D95" s="213" t="s">
        <v>728</v>
      </c>
      <c r="E95" s="213" t="s">
        <v>728</v>
      </c>
      <c r="F95" s="213" t="s">
        <v>738</v>
      </c>
      <c r="G95" s="213" t="s">
        <v>738</v>
      </c>
    </row>
    <row r="96" spans="3:7" ht="12.75">
      <c r="C96" s="213" t="s">
        <v>723</v>
      </c>
      <c r="D96" s="213" t="s">
        <v>729</v>
      </c>
      <c r="E96" s="213" t="s">
        <v>734</v>
      </c>
      <c r="F96" s="213" t="s">
        <v>739</v>
      </c>
      <c r="G96" s="213" t="s">
        <v>739</v>
      </c>
    </row>
    <row r="97" ht="12.75">
      <c r="A97" s="210" t="s">
        <v>742</v>
      </c>
    </row>
    <row r="98" spans="1:7" ht="12.75">
      <c r="A98" s="228" t="s">
        <v>539</v>
      </c>
      <c r="G98" s="232"/>
    </row>
    <row r="99" spans="1:7" ht="12.75">
      <c r="A99" s="209" t="s">
        <v>574</v>
      </c>
      <c r="C99" s="241">
        <v>18</v>
      </c>
      <c r="G99" s="232"/>
    </row>
    <row r="100" spans="1:7" ht="12.75">
      <c r="A100" s="209" t="s">
        <v>743</v>
      </c>
      <c r="C100" s="242">
        <v>80</v>
      </c>
      <c r="G100" s="232"/>
    </row>
    <row r="101" spans="1:7" ht="12.75">
      <c r="A101" s="209" t="s">
        <v>578</v>
      </c>
      <c r="C101" s="203">
        <v>0.5</v>
      </c>
      <c r="D101" s="214">
        <v>100</v>
      </c>
      <c r="E101" s="216">
        <v>13.5</v>
      </c>
      <c r="F101" s="233">
        <f>F49</f>
        <v>1998.2891360136873</v>
      </c>
      <c r="G101" s="217">
        <f>IF(D101&gt;0,(E101/D101)*F101,0)</f>
        <v>269.7690333618478</v>
      </c>
    </row>
    <row r="102" spans="1:7" ht="12.75">
      <c r="A102" s="285" t="s">
        <v>127</v>
      </c>
      <c r="C102" s="203">
        <v>0.5</v>
      </c>
      <c r="D102" s="214">
        <v>101</v>
      </c>
      <c r="E102" s="216">
        <v>448</v>
      </c>
      <c r="F102" s="233">
        <f>(E31*(C100-C99))/1000</f>
        <v>1858.4088964927291</v>
      </c>
      <c r="G102" s="217">
        <f>IF(D102&gt;0,(E102/D102)*F102,0)</f>
        <v>8243.23946167072</v>
      </c>
    </row>
    <row r="103" spans="1:7" ht="12.75">
      <c r="A103" s="209" t="s">
        <v>5</v>
      </c>
      <c r="C103" s="203">
        <v>0.5</v>
      </c>
      <c r="D103" s="214">
        <v>10</v>
      </c>
      <c r="E103" s="216">
        <v>5</v>
      </c>
      <c r="F103" s="233">
        <f>F102/3.785</f>
        <v>490.99310343268934</v>
      </c>
      <c r="G103" s="217">
        <f>IF(D103&gt;0,(E103/D103)*F103,0)</f>
        <v>245.49655171634467</v>
      </c>
    </row>
    <row r="104" spans="4:7" ht="12.75">
      <c r="D104" s="213" t="s">
        <v>730</v>
      </c>
      <c r="E104" s="140">
        <f>IF(F101&gt;0,G101*C101,0)+IF(F102&gt;0,G102*C102,0)+IF(F103&gt;0,G103*C103,0)</f>
        <v>4379.252523374457</v>
      </c>
      <c r="F104" s="213"/>
      <c r="G104" s="229">
        <f>SUM(G101:G103)</f>
        <v>8758.505046748915</v>
      </c>
    </row>
    <row r="105" spans="1:6" ht="12.75">
      <c r="A105" s="210" t="s">
        <v>744</v>
      </c>
      <c r="D105" s="234"/>
      <c r="E105" s="222"/>
      <c r="F105" s="234"/>
    </row>
    <row r="106" spans="1:7" ht="12.75">
      <c r="A106" s="228" t="s">
        <v>534</v>
      </c>
      <c r="D106" s="222"/>
      <c r="E106" s="243"/>
      <c r="F106" s="222"/>
      <c r="G106" s="215"/>
    </row>
    <row r="107" spans="1:7" ht="12.75">
      <c r="A107" s="209" t="s">
        <v>580</v>
      </c>
      <c r="C107" s="214">
        <v>0</v>
      </c>
      <c r="D107" s="214">
        <v>0</v>
      </c>
      <c r="E107" s="218">
        <v>0</v>
      </c>
      <c r="F107" s="214">
        <v>0</v>
      </c>
      <c r="G107" s="217">
        <f>IF(F107&gt;0,(((E107*F107)/C107)/365)*(PRODUCTION!C$6),0)</f>
        <v>0</v>
      </c>
    </row>
    <row r="108" spans="1:7" ht="12.75">
      <c r="A108" s="209" t="s">
        <v>581</v>
      </c>
      <c r="C108" s="214">
        <v>5</v>
      </c>
      <c r="D108" s="214">
        <v>1</v>
      </c>
      <c r="E108" s="218">
        <v>909</v>
      </c>
      <c r="F108" s="214">
        <v>1</v>
      </c>
      <c r="G108" s="217">
        <f>IF(F108&gt;0,(((E108*F108)/C108)/365)*(PRODUCTION!C$6),0)</f>
        <v>181.8</v>
      </c>
    </row>
    <row r="109" spans="4:7" ht="12.75">
      <c r="D109" s="213" t="s">
        <v>730</v>
      </c>
      <c r="E109" s="140">
        <f>IF(F107&gt;0,E107*F107,0)+IF(F108&gt;0,E108*F108,0)</f>
        <v>909</v>
      </c>
      <c r="G109" s="229">
        <f>SUM(G107:G108)</f>
        <v>181.8</v>
      </c>
    </row>
    <row r="110" spans="2:7" ht="12.75">
      <c r="B110" s="295" t="s">
        <v>310</v>
      </c>
      <c r="G110" s="232"/>
    </row>
    <row r="111" spans="1:7" ht="12.75">
      <c r="A111" s="228" t="s">
        <v>539</v>
      </c>
      <c r="B111" t="s">
        <v>311</v>
      </c>
      <c r="C111" s="209" t="s">
        <v>724</v>
      </c>
      <c r="G111" s="232"/>
    </row>
    <row r="112" spans="1:7" ht="12.75">
      <c r="A112" s="209" t="s">
        <v>582</v>
      </c>
      <c r="B112" s="202">
        <v>0.5</v>
      </c>
      <c r="C112" s="244">
        <v>1</v>
      </c>
      <c r="D112" s="214">
        <v>100</v>
      </c>
      <c r="E112" s="235">
        <v>11.5</v>
      </c>
      <c r="F112" s="233">
        <f>E$31*C112</f>
        <v>29974.337040205308</v>
      </c>
      <c r="G112" s="217">
        <f>IF(C112&gt;0,(E112/D112)*F112,0)</f>
        <v>3447.0487596236107</v>
      </c>
    </row>
    <row r="113" spans="1:7" ht="12.75">
      <c r="A113" s="209" t="s">
        <v>583</v>
      </c>
      <c r="B113" s="202">
        <v>0</v>
      </c>
      <c r="C113" s="244">
        <v>0</v>
      </c>
      <c r="D113" s="214">
        <v>500</v>
      </c>
      <c r="E113" s="235">
        <v>0.13</v>
      </c>
      <c r="F113" s="233">
        <f>E$31*C113</f>
        <v>0</v>
      </c>
      <c r="G113" s="217">
        <f>IF(C113&gt;0,(E113/D113)*F113,0)</f>
        <v>0</v>
      </c>
    </row>
    <row r="114" spans="1:7" ht="12.75">
      <c r="A114" s="209" t="s">
        <v>584</v>
      </c>
      <c r="B114" s="202">
        <v>0</v>
      </c>
      <c r="C114" s="244">
        <v>0</v>
      </c>
      <c r="D114" s="214">
        <v>250</v>
      </c>
      <c r="E114" s="235">
        <v>1.25</v>
      </c>
      <c r="F114" s="233">
        <f>E$31*C114</f>
        <v>0</v>
      </c>
      <c r="G114" s="217">
        <f>IF(C114&gt;0,(E114/D114)*F114,0)</f>
        <v>0</v>
      </c>
    </row>
    <row r="115" spans="1:7" ht="12.75">
      <c r="A115" s="209" t="s">
        <v>585</v>
      </c>
      <c r="B115" s="202">
        <v>0</v>
      </c>
      <c r="C115" s="244">
        <v>0</v>
      </c>
      <c r="D115" s="214">
        <v>100</v>
      </c>
      <c r="E115" s="235">
        <v>13.5</v>
      </c>
      <c r="F115" s="233">
        <f>E$31*C115</f>
        <v>0</v>
      </c>
      <c r="G115" s="217">
        <f>IF(C115&gt;0,(E115/D115)*F115,0)</f>
        <v>0</v>
      </c>
    </row>
    <row r="116" spans="4:7" ht="12.75">
      <c r="D116" s="222" t="s">
        <v>730</v>
      </c>
      <c r="E116" s="140">
        <f>IF(F112&gt;0,G112*B112,0)+IF(F113&gt;0,G113*B113,0)+IF(F114&gt;0,G114*B114,0)+IF(F115&gt;0,G115*B115,0)</f>
        <v>1723.5243798118054</v>
      </c>
      <c r="F116" s="223">
        <f>SUM(F112:F115)</f>
        <v>29974.337040205308</v>
      </c>
      <c r="G116" s="229">
        <f>SUM(G112:G115)</f>
        <v>3447.0487596236107</v>
      </c>
    </row>
    <row r="117" spans="1:7" ht="12.75">
      <c r="A117" s="210" t="s">
        <v>586</v>
      </c>
      <c r="D117" s="222"/>
      <c r="E117" s="232"/>
      <c r="F117" s="222"/>
      <c r="G117" s="232"/>
    </row>
    <row r="118" spans="1:7" ht="12.75">
      <c r="A118" s="228" t="s">
        <v>534</v>
      </c>
      <c r="D118" s="222"/>
      <c r="E118" s="232"/>
      <c r="F118" s="222"/>
      <c r="G118" s="232"/>
    </row>
    <row r="119" spans="1:7" ht="12.75">
      <c r="A119" s="209" t="s">
        <v>587</v>
      </c>
      <c r="C119" s="214">
        <v>5</v>
      </c>
      <c r="D119" s="214">
        <v>1</v>
      </c>
      <c r="E119" s="216">
        <v>697</v>
      </c>
      <c r="F119" s="214">
        <v>1</v>
      </c>
      <c r="G119" s="217">
        <f>IF(F119&gt;0,(((E119*F119)/C119)/365)*(PRODUCTION!C$6),0)</f>
        <v>139.4</v>
      </c>
    </row>
    <row r="120" spans="1:7" ht="12.75">
      <c r="A120" s="209" t="s">
        <v>588</v>
      </c>
      <c r="C120" s="214">
        <v>3</v>
      </c>
      <c r="D120" s="214">
        <v>1</v>
      </c>
      <c r="E120" s="216">
        <v>50</v>
      </c>
      <c r="F120" s="214">
        <v>1</v>
      </c>
      <c r="G120" s="217">
        <f>IF(F120&gt;0,(((E120*F120)/C120)/365)*(PRODUCTION!C$6),0)</f>
        <v>16.666666666666668</v>
      </c>
    </row>
    <row r="121" spans="4:7" ht="12.75">
      <c r="D121" s="213" t="s">
        <v>730</v>
      </c>
      <c r="E121" s="22">
        <f>IF(F119&gt;0,E119*F119,0)+IF(F120&gt;0,E120*F120,0)</f>
        <v>747</v>
      </c>
      <c r="G121" s="231">
        <f>SUM(G119:G120)</f>
        <v>156.06666666666666</v>
      </c>
    </row>
    <row r="122" spans="1:7" ht="12.75">
      <c r="A122" s="210" t="s">
        <v>745</v>
      </c>
      <c r="G122" s="215"/>
    </row>
    <row r="123" spans="1:7" ht="12.75">
      <c r="A123" s="228" t="s">
        <v>534</v>
      </c>
      <c r="G123" s="215"/>
    </row>
    <row r="124" spans="1:7" ht="12.75">
      <c r="A124" s="209" t="s">
        <v>590</v>
      </c>
      <c r="C124" s="66">
        <v>2</v>
      </c>
      <c r="D124" s="220">
        <v>1</v>
      </c>
      <c r="E124" s="235">
        <v>1</v>
      </c>
      <c r="F124" s="220">
        <v>1</v>
      </c>
      <c r="G124" s="19">
        <f>IF(F124&gt;0,(((E124*F124)/C124)/365)*(PRODUCTION!B$6),0)</f>
        <v>0.5</v>
      </c>
    </row>
    <row r="125" spans="1:7" ht="12.75">
      <c r="A125" s="209" t="s">
        <v>591</v>
      </c>
      <c r="C125" s="66">
        <v>0</v>
      </c>
      <c r="D125" s="220">
        <v>1</v>
      </c>
      <c r="E125" s="235">
        <v>65</v>
      </c>
      <c r="F125" s="220">
        <v>0</v>
      </c>
      <c r="G125" s="19">
        <f>IF(F125&gt;0,(((E125*F125)/C125)/365)*(PRODUCTION!B$6),0)</f>
        <v>0</v>
      </c>
    </row>
    <row r="126" spans="1:7" ht="12.75">
      <c r="A126" s="209" t="s">
        <v>592</v>
      </c>
      <c r="C126" s="66">
        <v>0</v>
      </c>
      <c r="D126" s="220">
        <v>1</v>
      </c>
      <c r="E126" s="235">
        <v>60</v>
      </c>
      <c r="F126" s="220">
        <v>0</v>
      </c>
      <c r="G126" s="19">
        <f>IF(F126&gt;0,(((E126*F126)/C126)/365)*(PRODUCTION!B$6),0)</f>
        <v>0</v>
      </c>
    </row>
    <row r="127" spans="1:7" ht="12.75">
      <c r="A127" s="209" t="s">
        <v>593</v>
      </c>
      <c r="C127" s="66">
        <v>2</v>
      </c>
      <c r="D127" s="220">
        <v>1</v>
      </c>
      <c r="E127" s="235">
        <v>3.95</v>
      </c>
      <c r="F127" s="220">
        <v>2</v>
      </c>
      <c r="G127" s="19">
        <f>IF(F127&gt;0,(((E127*F127)/C127)/365)*(PRODUCTION!B$6),0)</f>
        <v>3.9500000000000006</v>
      </c>
    </row>
    <row r="128" spans="4:7" ht="12.75">
      <c r="D128" s="222" t="s">
        <v>730</v>
      </c>
      <c r="E128" s="140">
        <f>IF(F124&gt;0,E124*F124,0)+IF(F125&gt;0,E125*F125,0)+IF(F126&gt;0,E126*F126,0)+IF(F127&gt;0,E127*F127,0)</f>
        <v>8.9</v>
      </c>
      <c r="F128" s="222"/>
      <c r="G128" s="245">
        <f>SUM(G124:G127)</f>
        <v>4.450000000000001</v>
      </c>
    </row>
    <row r="129" spans="1:7" ht="12.75">
      <c r="A129" s="228" t="s">
        <v>539</v>
      </c>
      <c r="B129" s="299" t="s">
        <v>309</v>
      </c>
      <c r="C129" s="298"/>
      <c r="D129" s="222"/>
      <c r="E129" s="232"/>
      <c r="F129" s="222"/>
      <c r="G129" s="232"/>
    </row>
    <row r="130" spans="1:7" ht="12.75">
      <c r="A130" s="209" t="s">
        <v>594</v>
      </c>
      <c r="B130" s="296">
        <v>0.5</v>
      </c>
      <c r="C130" s="298"/>
      <c r="D130" s="220">
        <v>100</v>
      </c>
      <c r="E130" s="235">
        <v>28</v>
      </c>
      <c r="F130" s="246">
        <f>E31</f>
        <v>29974.337040205308</v>
      </c>
      <c r="G130" s="217">
        <f>IF(D130&gt;0,(E130/D130)*F130,0)</f>
        <v>8392.814371257487</v>
      </c>
    </row>
    <row r="131" spans="1:7" ht="12.75">
      <c r="A131" s="209" t="s">
        <v>595</v>
      </c>
      <c r="B131" s="296">
        <v>1</v>
      </c>
      <c r="C131" s="298"/>
      <c r="D131" s="220">
        <v>1</v>
      </c>
      <c r="E131" s="235">
        <v>2.1</v>
      </c>
      <c r="F131" s="220">
        <v>12</v>
      </c>
      <c r="G131" s="217">
        <f>IF(F131&gt;0,(E131/D131)*F131,0)</f>
        <v>25.200000000000003</v>
      </c>
    </row>
    <row r="132" spans="4:9" ht="12.75">
      <c r="D132" s="213" t="s">
        <v>730</v>
      </c>
      <c r="E132" s="140">
        <f>IF(F130&gt;0,G130*B130,0)+IF(F131&gt;0,G131*B131,0)</f>
        <v>4221.6071856287435</v>
      </c>
      <c r="G132" s="231">
        <f>SUM(G130:G131)</f>
        <v>8418.014371257488</v>
      </c>
      <c r="I132" s="215"/>
    </row>
    <row r="133" spans="1:9" ht="12.75">
      <c r="A133" s="206"/>
      <c r="B133" s="206"/>
      <c r="C133" s="206"/>
      <c r="D133" s="206"/>
      <c r="E133" s="207"/>
      <c r="F133" s="206"/>
      <c r="G133" s="206"/>
      <c r="I133" s="215"/>
    </row>
    <row r="134" spans="1:7" ht="12.75">
      <c r="A134" s="210" t="s">
        <v>746</v>
      </c>
      <c r="D134" s="247"/>
      <c r="E134" s="222"/>
      <c r="F134" s="247"/>
      <c r="G134" s="247"/>
    </row>
    <row r="135" spans="1:7" ht="12.75">
      <c r="A135" s="209" t="s">
        <v>747</v>
      </c>
      <c r="D135" s="229">
        <f>(E47+E66+E90+E109+E121+E128+E132)</f>
        <v>11261.147185628743</v>
      </c>
      <c r="E135" s="222"/>
      <c r="F135" s="234"/>
      <c r="G135" s="234"/>
    </row>
    <row r="136" ht="12.75">
      <c r="A136" s="209" t="s">
        <v>748</v>
      </c>
    </row>
    <row r="137" spans="1:3" ht="12.75">
      <c r="A137" s="209" t="s">
        <v>749</v>
      </c>
      <c r="C137" s="231">
        <f>(G47+G66+G90+G109+G121+G128)</f>
        <v>1440.763333333333</v>
      </c>
    </row>
    <row r="138" spans="1:3" ht="12.75">
      <c r="A138" s="209" t="s">
        <v>750</v>
      </c>
      <c r="C138" s="231">
        <f>(G54+G82+G104+G116+G132)</f>
        <v>22774.158633453062</v>
      </c>
    </row>
    <row r="139" spans="2:3" ht="12.75">
      <c r="B139" s="226" t="s">
        <v>717</v>
      </c>
      <c r="C139" s="231">
        <f>SUM(C137:C138)</f>
        <v>24214.921966786394</v>
      </c>
    </row>
    <row r="140" spans="1:7" ht="12.75">
      <c r="A140" s="206"/>
      <c r="B140" s="206"/>
      <c r="C140" s="206"/>
      <c r="D140" s="206"/>
      <c r="E140" s="207"/>
      <c r="F140" s="206"/>
      <c r="G140" s="206"/>
    </row>
    <row r="141" spans="1:7" ht="15.75">
      <c r="A141" s="301" t="s">
        <v>840</v>
      </c>
      <c r="B141" s="297"/>
      <c r="C141" s="297"/>
      <c r="D141" s="297"/>
      <c r="E141" s="297"/>
      <c r="F141" s="297"/>
      <c r="G141" s="297"/>
    </row>
    <row r="142" spans="1:9" ht="15.75">
      <c r="A142" s="301" t="s">
        <v>850</v>
      </c>
      <c r="B142" s="297"/>
      <c r="C142" s="297"/>
      <c r="D142" s="297"/>
      <c r="E142" s="297"/>
      <c r="F142" s="297"/>
      <c r="G142" s="297"/>
      <c r="I142" s="238"/>
    </row>
    <row r="143" spans="1:9" ht="12.75">
      <c r="A143" s="206"/>
      <c r="B143" s="206"/>
      <c r="C143" s="206"/>
      <c r="D143" s="206"/>
      <c r="E143" s="207"/>
      <c r="F143" s="208"/>
      <c r="G143" s="208"/>
      <c r="I143" s="238"/>
    </row>
    <row r="144" spans="1:5" ht="12.75">
      <c r="A144" s="211" t="s">
        <v>751</v>
      </c>
      <c r="D144" s="243"/>
      <c r="E144" s="213" t="s">
        <v>735</v>
      </c>
    </row>
    <row r="145" spans="1:5" ht="12.75">
      <c r="A145" s="209" t="s">
        <v>454</v>
      </c>
      <c r="D145" s="234"/>
      <c r="E145" s="267">
        <f>E22</f>
        <v>21</v>
      </c>
    </row>
    <row r="146" spans="1:5" ht="12.75">
      <c r="A146" s="209" t="s">
        <v>602</v>
      </c>
      <c r="E146" s="248">
        <v>2000</v>
      </c>
    </row>
    <row r="147" spans="1:5" ht="12.75">
      <c r="A147" s="210" t="s">
        <v>752</v>
      </c>
      <c r="E147" s="249">
        <f>(E145*E146)</f>
        <v>42000</v>
      </c>
    </row>
    <row r="148" ht="12.75">
      <c r="E148" s="217"/>
    </row>
    <row r="149" spans="1:5" ht="12.75">
      <c r="A149" s="210" t="s">
        <v>604</v>
      </c>
      <c r="E149" s="217"/>
    </row>
    <row r="150" spans="1:5" ht="12.75">
      <c r="A150" s="209" t="s">
        <v>605</v>
      </c>
      <c r="E150" s="250">
        <v>0</v>
      </c>
    </row>
    <row r="151" spans="1:5" ht="12.75">
      <c r="A151" s="209" t="s">
        <v>606</v>
      </c>
      <c r="E151" s="250">
        <v>0</v>
      </c>
    </row>
    <row r="152" spans="1:5" ht="12.75">
      <c r="A152" s="209" t="s">
        <v>608</v>
      </c>
      <c r="E152" s="250">
        <v>0</v>
      </c>
    </row>
    <row r="153" spans="1:5" ht="12.75">
      <c r="A153" s="209" t="s">
        <v>609</v>
      </c>
      <c r="E153" s="250">
        <v>0</v>
      </c>
    </row>
    <row r="154" spans="1:5" ht="12.75">
      <c r="A154" s="209" t="s">
        <v>610</v>
      </c>
      <c r="E154" s="250">
        <v>0</v>
      </c>
    </row>
    <row r="155" spans="1:5" ht="12.75">
      <c r="A155" s="209" t="s">
        <v>611</v>
      </c>
      <c r="E155" s="251">
        <v>0</v>
      </c>
    </row>
    <row r="156" spans="1:5" ht="12.75">
      <c r="A156" s="209" t="s">
        <v>612</v>
      </c>
      <c r="E156" s="251">
        <v>0</v>
      </c>
    </row>
    <row r="157" spans="1:5" ht="12.75">
      <c r="A157" s="209" t="s">
        <v>613</v>
      </c>
      <c r="E157" s="251">
        <v>0</v>
      </c>
    </row>
    <row r="158" spans="1:5" ht="12.75">
      <c r="A158" s="209" t="s">
        <v>614</v>
      </c>
      <c r="E158" s="250">
        <v>0</v>
      </c>
    </row>
    <row r="159" spans="1:5" ht="12.75">
      <c r="A159" s="209" t="s">
        <v>615</v>
      </c>
      <c r="E159" s="250">
        <v>0</v>
      </c>
    </row>
    <row r="160" spans="1:5" ht="12.75">
      <c r="A160" s="209" t="s">
        <v>616</v>
      </c>
      <c r="E160" s="250">
        <v>0</v>
      </c>
    </row>
    <row r="161" spans="4:5" ht="12.75">
      <c r="D161" s="226" t="s">
        <v>730</v>
      </c>
      <c r="E161" s="229">
        <f>SUM(E150:E158)</f>
        <v>0</v>
      </c>
    </row>
    <row r="162" ht="12.75">
      <c r="E162" s="243"/>
    </row>
    <row r="163" spans="1:5" ht="12.75">
      <c r="A163" s="210" t="s">
        <v>617</v>
      </c>
      <c r="E163" s="243"/>
    </row>
    <row r="164" spans="1:5" ht="12.75">
      <c r="A164" s="209" t="s">
        <v>618</v>
      </c>
      <c r="E164" s="250">
        <v>0</v>
      </c>
    </row>
    <row r="165" spans="1:5" ht="12.75">
      <c r="A165" s="209" t="s">
        <v>619</v>
      </c>
      <c r="E165" s="250">
        <v>0</v>
      </c>
    </row>
    <row r="166" spans="1:5" ht="12.75">
      <c r="A166" s="209" t="s">
        <v>620</v>
      </c>
      <c r="E166" s="250">
        <v>0</v>
      </c>
    </row>
    <row r="167" spans="1:5" ht="12.75">
      <c r="A167" s="209" t="s">
        <v>621</v>
      </c>
      <c r="E167" s="250">
        <v>0</v>
      </c>
    </row>
    <row r="168" spans="1:5" ht="12.75">
      <c r="A168" s="209" t="s">
        <v>622</v>
      </c>
      <c r="E168" s="250">
        <v>0</v>
      </c>
    </row>
    <row r="169" spans="1:5" ht="12.75">
      <c r="A169" s="209" t="s">
        <v>623</v>
      </c>
      <c r="E169" s="250">
        <v>0</v>
      </c>
    </row>
    <row r="170" spans="1:5" ht="12.75">
      <c r="A170" s="209" t="s">
        <v>624</v>
      </c>
      <c r="E170" s="250">
        <v>0</v>
      </c>
    </row>
    <row r="171" spans="1:5" ht="12.75">
      <c r="A171" s="209" t="s">
        <v>625</v>
      </c>
      <c r="E171" s="250">
        <v>0</v>
      </c>
    </row>
    <row r="172" spans="1:5" ht="12.75">
      <c r="A172" s="209" t="s">
        <v>626</v>
      </c>
      <c r="E172" s="250">
        <v>0</v>
      </c>
    </row>
    <row r="173" spans="1:5" ht="12.75">
      <c r="A173" s="209" t="s">
        <v>627</v>
      </c>
      <c r="E173" s="250">
        <v>0</v>
      </c>
    </row>
    <row r="174" spans="1:5" ht="12.75">
      <c r="A174" s="209" t="s">
        <v>628</v>
      </c>
      <c r="E174" s="250">
        <v>0</v>
      </c>
    </row>
    <row r="175" spans="1:5" ht="12.75">
      <c r="A175" s="209" t="s">
        <v>629</v>
      </c>
      <c r="E175" s="250">
        <v>0</v>
      </c>
    </row>
    <row r="176" spans="1:5" ht="12.75">
      <c r="A176" s="209" t="s">
        <v>630</v>
      </c>
      <c r="E176" s="251">
        <v>0</v>
      </c>
    </row>
    <row r="177" spans="1:5" ht="12.75">
      <c r="A177" s="209" t="s">
        <v>631</v>
      </c>
      <c r="E177" s="251">
        <v>0</v>
      </c>
    </row>
    <row r="178" spans="1:5" ht="12.75">
      <c r="A178" s="209" t="s">
        <v>632</v>
      </c>
      <c r="E178" s="250">
        <v>0</v>
      </c>
    </row>
    <row r="179" spans="1:5" ht="12.75">
      <c r="A179" s="209" t="s">
        <v>616</v>
      </c>
      <c r="E179" s="250">
        <v>0</v>
      </c>
    </row>
    <row r="180" spans="4:5" ht="12.75">
      <c r="D180" s="226" t="s">
        <v>730</v>
      </c>
      <c r="E180" s="231">
        <f>SUM(E164:E178)</f>
        <v>0</v>
      </c>
    </row>
    <row r="181" spans="1:7" ht="12.75">
      <c r="A181" s="206"/>
      <c r="B181" s="206"/>
      <c r="C181" s="206"/>
      <c r="D181" s="206"/>
      <c r="E181" s="207"/>
      <c r="F181" s="208"/>
      <c r="G181" s="208"/>
    </row>
    <row r="182" spans="1:7" ht="15.75">
      <c r="A182" s="301" t="s">
        <v>840</v>
      </c>
      <c r="B182" s="297"/>
      <c r="C182" s="297"/>
      <c r="D182" s="297"/>
      <c r="E182" s="297"/>
      <c r="F182" s="297"/>
      <c r="G182" s="297"/>
    </row>
    <row r="183" spans="1:7" ht="12.75">
      <c r="A183" s="206"/>
      <c r="B183" s="206"/>
      <c r="C183" s="206"/>
      <c r="D183" s="206"/>
      <c r="E183" s="207"/>
      <c r="F183" s="208"/>
      <c r="G183" s="208"/>
    </row>
    <row r="184" spans="1:5" ht="12.75">
      <c r="A184" s="210" t="s">
        <v>633</v>
      </c>
      <c r="D184" s="222"/>
      <c r="E184" s="252" t="s">
        <v>735</v>
      </c>
    </row>
    <row r="185" spans="1:5" ht="12.75">
      <c r="A185" s="209" t="s">
        <v>634</v>
      </c>
      <c r="D185" s="222"/>
      <c r="E185" s="250">
        <v>0</v>
      </c>
    </row>
    <row r="186" spans="1:5" ht="12.75">
      <c r="A186" s="209" t="s">
        <v>619</v>
      </c>
      <c r="D186" s="222"/>
      <c r="E186" s="250">
        <v>0</v>
      </c>
    </row>
    <row r="187" spans="1:5" ht="12.75">
      <c r="A187" s="209" t="s">
        <v>620</v>
      </c>
      <c r="D187" s="222"/>
      <c r="E187" s="250">
        <v>0</v>
      </c>
    </row>
    <row r="188" spans="1:5" ht="12.75">
      <c r="A188" s="209" t="s">
        <v>621</v>
      </c>
      <c r="D188" s="234"/>
      <c r="E188" s="250">
        <v>0</v>
      </c>
    </row>
    <row r="189" spans="1:5" ht="12.75">
      <c r="A189" s="209" t="s">
        <v>624</v>
      </c>
      <c r="E189" s="250">
        <v>0</v>
      </c>
    </row>
    <row r="190" spans="1:5" ht="12.75">
      <c r="A190" s="209" t="s">
        <v>625</v>
      </c>
      <c r="E190" s="250">
        <v>0</v>
      </c>
    </row>
    <row r="191" spans="1:5" ht="12.75">
      <c r="A191" s="209" t="s">
        <v>626</v>
      </c>
      <c r="E191" s="250">
        <v>0</v>
      </c>
    </row>
    <row r="192" spans="1:5" ht="12.75">
      <c r="A192" s="209" t="s">
        <v>635</v>
      </c>
      <c r="E192" s="250">
        <v>0</v>
      </c>
    </row>
    <row r="193" spans="1:5" ht="12.75">
      <c r="A193" s="209" t="s">
        <v>636</v>
      </c>
      <c r="E193" s="250">
        <v>0</v>
      </c>
    </row>
    <row r="194" spans="1:5" ht="12.75">
      <c r="A194" s="209" t="s">
        <v>637</v>
      </c>
      <c r="E194" s="250">
        <v>0</v>
      </c>
    </row>
    <row r="195" spans="1:5" ht="12.75">
      <c r="A195" s="209" t="s">
        <v>638</v>
      </c>
      <c r="E195" s="250">
        <v>0</v>
      </c>
    </row>
    <row r="196" spans="1:5" ht="12.75">
      <c r="A196" s="209" t="s">
        <v>639</v>
      </c>
      <c r="E196" s="250">
        <v>0</v>
      </c>
    </row>
    <row r="197" spans="1:5" ht="12.75">
      <c r="A197" s="209" t="s">
        <v>640</v>
      </c>
      <c r="E197" s="250">
        <v>0</v>
      </c>
    </row>
    <row r="198" spans="1:5" ht="12.75">
      <c r="A198" s="209" t="s">
        <v>641</v>
      </c>
      <c r="E198" s="250">
        <v>0</v>
      </c>
    </row>
    <row r="199" spans="1:5" ht="12.75">
      <c r="A199" s="209" t="s">
        <v>642</v>
      </c>
      <c r="E199" s="250">
        <v>0</v>
      </c>
    </row>
    <row r="200" spans="1:5" ht="12.75">
      <c r="A200" s="209" t="s">
        <v>643</v>
      </c>
      <c r="E200" s="250">
        <v>0</v>
      </c>
    </row>
    <row r="201" spans="1:5" ht="12.75">
      <c r="A201" s="209" t="s">
        <v>644</v>
      </c>
      <c r="E201" s="250">
        <v>0</v>
      </c>
    </row>
    <row r="202" spans="1:5" ht="12.75">
      <c r="A202" s="209" t="s">
        <v>645</v>
      </c>
      <c r="E202" s="250">
        <v>0</v>
      </c>
    </row>
    <row r="203" spans="1:5" ht="12.75">
      <c r="A203" s="209" t="s">
        <v>646</v>
      </c>
      <c r="E203" s="250">
        <v>0</v>
      </c>
    </row>
    <row r="204" spans="1:5" ht="12.75">
      <c r="A204" s="209" t="s">
        <v>616</v>
      </c>
      <c r="E204" s="250">
        <v>0</v>
      </c>
    </row>
    <row r="205" spans="4:6" ht="12.75">
      <c r="D205" s="226" t="s">
        <v>730</v>
      </c>
      <c r="E205" s="229">
        <f>SUM(E185:E204)</f>
        <v>0</v>
      </c>
      <c r="F205" s="226"/>
    </row>
    <row r="206" ht="12.75">
      <c r="E206" s="229"/>
    </row>
    <row r="207" spans="4:6" ht="12.75">
      <c r="D207" s="253" t="s">
        <v>731</v>
      </c>
      <c r="E207" s="229">
        <f>(E161+E180+E205)</f>
        <v>0</v>
      </c>
      <c r="F207" s="226"/>
    </row>
    <row r="208" spans="1:6" ht="12.75">
      <c r="A208" s="211" t="s">
        <v>751</v>
      </c>
      <c r="E208" s="243"/>
      <c r="F208" s="254"/>
    </row>
    <row r="209" spans="1:6" ht="12.75">
      <c r="A209" s="209" t="s">
        <v>648</v>
      </c>
      <c r="C209" s="213"/>
      <c r="E209" s="255">
        <v>7</v>
      </c>
      <c r="F209" s="254"/>
    </row>
    <row r="210" spans="1:6" ht="12.75">
      <c r="A210" s="209" t="s">
        <v>649</v>
      </c>
      <c r="C210" s="222"/>
      <c r="E210" s="256">
        <v>0.8</v>
      </c>
      <c r="F210" s="254"/>
    </row>
    <row r="211" spans="1:6" ht="12.75">
      <c r="A211" s="209" t="s">
        <v>650</v>
      </c>
      <c r="C211" s="222"/>
      <c r="E211" s="256">
        <v>0.08</v>
      </c>
      <c r="F211" s="254"/>
    </row>
    <row r="212" spans="1:6" ht="12.75">
      <c r="A212" s="209" t="s">
        <v>651</v>
      </c>
      <c r="C212" s="222"/>
      <c r="E212" s="257">
        <v>7</v>
      </c>
      <c r="F212" s="254"/>
    </row>
    <row r="213" spans="1:6" ht="12.75">
      <c r="A213" s="209" t="s">
        <v>652</v>
      </c>
      <c r="C213" s="234"/>
      <c r="E213" s="258">
        <v>0.005</v>
      </c>
      <c r="F213" s="254"/>
    </row>
    <row r="214" spans="1:6" ht="12.75">
      <c r="A214" s="209" t="s">
        <v>653</v>
      </c>
      <c r="C214" s="234"/>
      <c r="E214" s="258">
        <v>0.01</v>
      </c>
      <c r="F214" s="254"/>
    </row>
    <row r="215" spans="3:6" ht="12.75">
      <c r="C215" s="234"/>
      <c r="E215" s="290"/>
      <c r="F215" s="254"/>
    </row>
    <row r="216" spans="1:6" ht="12.75">
      <c r="A216" s="211" t="s">
        <v>753</v>
      </c>
      <c r="C216" s="234"/>
      <c r="E216" s="222"/>
      <c r="F216" s="254"/>
    </row>
    <row r="217" spans="1:6" ht="12.75">
      <c r="A217" s="209" t="s">
        <v>655</v>
      </c>
      <c r="C217" s="222"/>
      <c r="E217" s="243">
        <f>IF(E207&gt;0,E207*E210,E147*E210)</f>
        <v>33600</v>
      </c>
      <c r="F217" s="254"/>
    </row>
    <row r="218" spans="1:6" ht="12.75">
      <c r="A218" s="209" t="s">
        <v>656</v>
      </c>
      <c r="C218" s="222"/>
      <c r="E218" s="229">
        <f>PMT(E211,E212,-(E217))</f>
        <v>6453.632687994591</v>
      </c>
      <c r="F218" s="254"/>
    </row>
    <row r="219" spans="1:6" ht="12.75">
      <c r="A219" s="209" t="s">
        <v>657</v>
      </c>
      <c r="C219" s="213"/>
      <c r="E219" s="229">
        <f>IF(E207&gt;0,(E207-E217)/E209,(E147-E217)/E209)</f>
        <v>1200</v>
      </c>
      <c r="F219" s="254"/>
    </row>
    <row r="220" spans="1:6" ht="12.75">
      <c r="A220" s="209" t="s">
        <v>658</v>
      </c>
      <c r="E220" s="229">
        <f>IF(E207&gt;0,(E207*E213)+(E207*E214),(E147*E213)+(E147*E214))</f>
        <v>630</v>
      </c>
      <c r="F220" s="254"/>
    </row>
    <row r="221" spans="4:6" ht="12.75">
      <c r="D221" s="253" t="s">
        <v>731</v>
      </c>
      <c r="E221" s="229">
        <f>E218+E219+E220</f>
        <v>8283.632687994592</v>
      </c>
      <c r="F221" s="254"/>
    </row>
    <row r="222" spans="1:7" ht="12.75">
      <c r="A222" s="206"/>
      <c r="B222" s="206"/>
      <c r="C222" s="206"/>
      <c r="D222" s="206"/>
      <c r="E222" s="207"/>
      <c r="F222" s="208"/>
      <c r="G222" s="208"/>
    </row>
    <row r="223" spans="1:7" ht="15.75">
      <c r="A223" s="259" t="s">
        <v>659</v>
      </c>
      <c r="B223" s="234"/>
      <c r="C223" s="234"/>
      <c r="D223" s="222"/>
      <c r="E223" s="254"/>
      <c r="F223" s="234"/>
      <c r="G223" s="234"/>
    </row>
    <row r="224" spans="1:7" ht="12.75">
      <c r="A224" s="260"/>
      <c r="B224" s="239"/>
      <c r="C224" s="239"/>
      <c r="D224" s="240"/>
      <c r="E224" s="240"/>
      <c r="F224" s="208"/>
      <c r="G224" s="208"/>
    </row>
    <row r="225" spans="1:6" ht="12.75">
      <c r="A225" s="211" t="s">
        <v>754</v>
      </c>
      <c r="D225" s="222"/>
      <c r="E225" s="211" t="str">
        <f>(PRODUCTION!C4)</f>
        <v>Coop</v>
      </c>
      <c r="F225" s="213"/>
    </row>
    <row r="226" spans="1:6" ht="12.75">
      <c r="A226" s="209" t="s">
        <v>755</v>
      </c>
      <c r="D226" s="222"/>
      <c r="E226" s="214">
        <v>6</v>
      </c>
      <c r="F226" s="261"/>
    </row>
    <row r="227" spans="1:6" ht="12.75">
      <c r="A227" s="209" t="s">
        <v>662</v>
      </c>
      <c r="D227" s="232"/>
      <c r="E227" s="216">
        <v>0.05</v>
      </c>
      <c r="F227" s="215"/>
    </row>
    <row r="228" spans="1:6" ht="12.75">
      <c r="A228" s="211" t="s">
        <v>753</v>
      </c>
      <c r="D228" s="232"/>
      <c r="E228" s="215"/>
      <c r="F228" s="215"/>
    </row>
    <row r="229" spans="1:6" ht="12.75">
      <c r="A229" s="209" t="s">
        <v>518</v>
      </c>
      <c r="D229" s="232"/>
      <c r="E229" s="223">
        <f>(PRODUCTION!C$6)</f>
        <v>365</v>
      </c>
      <c r="F229" s="232"/>
    </row>
    <row r="230" spans="1:6" ht="12.75">
      <c r="A230" s="209" t="s">
        <v>664</v>
      </c>
      <c r="D230" s="223"/>
      <c r="E230" s="223">
        <f>(PRODUCTION!C6)*(E4*E226)</f>
        <v>10950</v>
      </c>
      <c r="F230" s="223"/>
    </row>
    <row r="231" spans="1:6" ht="12.75">
      <c r="A231" s="209" t="s">
        <v>707</v>
      </c>
      <c r="D231" s="243"/>
      <c r="E231" s="229">
        <f>(E227*E230)</f>
        <v>547.5</v>
      </c>
      <c r="F231" s="229"/>
    </row>
    <row r="232" spans="1:7" ht="12.75">
      <c r="A232" s="206"/>
      <c r="B232" s="206"/>
      <c r="C232" s="206"/>
      <c r="D232" s="206"/>
      <c r="E232" s="206"/>
      <c r="F232" s="208"/>
      <c r="G232" s="208"/>
    </row>
    <row r="233" spans="1:7" ht="15.75">
      <c r="A233" s="227" t="s">
        <v>666</v>
      </c>
      <c r="E233" s="209"/>
      <c r="F233" s="262"/>
      <c r="G233" s="263"/>
    </row>
    <row r="234" spans="1:7" ht="12.75">
      <c r="A234" s="260"/>
      <c r="B234" s="239"/>
      <c r="C234" s="239"/>
      <c r="D234" s="239"/>
      <c r="E234" s="240"/>
      <c r="F234" s="208"/>
      <c r="G234" s="208"/>
    </row>
    <row r="235" spans="1:6" ht="12.75">
      <c r="A235" s="211" t="s">
        <v>751</v>
      </c>
      <c r="F235" s="222"/>
    </row>
    <row r="236" spans="1:6" ht="12.75">
      <c r="A236" s="209" t="s">
        <v>667</v>
      </c>
      <c r="D236" s="213"/>
      <c r="E236" s="214">
        <v>4</v>
      </c>
      <c r="F236" s="261"/>
    </row>
    <row r="237" spans="1:6" ht="12.75">
      <c r="A237" s="209" t="s">
        <v>668</v>
      </c>
      <c r="D237" s="213"/>
      <c r="E237" s="214">
        <v>10</v>
      </c>
      <c r="F237" s="261"/>
    </row>
    <row r="238" spans="1:6" ht="12.75">
      <c r="A238" s="209" t="s">
        <v>669</v>
      </c>
      <c r="D238" s="213"/>
      <c r="E238" s="214">
        <v>10</v>
      </c>
      <c r="F238" s="261"/>
    </row>
    <row r="239" spans="1:6" ht="12.75">
      <c r="A239" s="209" t="s">
        <v>670</v>
      </c>
      <c r="D239" s="213"/>
      <c r="E239" s="214">
        <v>20</v>
      </c>
      <c r="F239" s="261"/>
    </row>
    <row r="240" spans="1:6" ht="12.75">
      <c r="A240" s="209" t="s">
        <v>756</v>
      </c>
      <c r="D240" s="213"/>
      <c r="E240" s="214">
        <v>2</v>
      </c>
      <c r="F240" s="223"/>
    </row>
    <row r="241" spans="1:6" ht="12.75">
      <c r="A241" s="209" t="s">
        <v>511</v>
      </c>
      <c r="D241" s="215"/>
      <c r="E241" s="216">
        <v>10</v>
      </c>
      <c r="F241" s="223"/>
    </row>
    <row r="242" spans="1:6" ht="12.75">
      <c r="A242" s="285" t="s">
        <v>849</v>
      </c>
      <c r="D242" s="213"/>
      <c r="E242" s="288">
        <f>(PRODUCTION!C38)</f>
        <v>2</v>
      </c>
      <c r="F242" s="223"/>
    </row>
    <row r="244" spans="1:6" ht="12.75">
      <c r="A244" s="211" t="s">
        <v>753</v>
      </c>
      <c r="F244" s="223"/>
    </row>
    <row r="245" spans="1:6" ht="12.75">
      <c r="A245" s="209" t="s">
        <v>518</v>
      </c>
      <c r="D245" s="215"/>
      <c r="E245" s="233">
        <f>(PRODUCTION!C$6)</f>
        <v>365</v>
      </c>
      <c r="F245" s="223"/>
    </row>
    <row r="246" spans="1:6" ht="12.75">
      <c r="A246" s="209" t="s">
        <v>672</v>
      </c>
      <c r="D246" s="222"/>
      <c r="E246" s="222">
        <f>E4*E242</f>
        <v>10</v>
      </c>
      <c r="F246" s="224"/>
    </row>
    <row r="247" spans="1:6" ht="12.75">
      <c r="A247" s="209" t="s">
        <v>671</v>
      </c>
      <c r="D247" s="224"/>
      <c r="E247" s="224">
        <f>(PRODUCTION!C$6)/(PRODUCTION!C$26)</f>
        <v>52.142857142857146</v>
      </c>
      <c r="F247" s="232"/>
    </row>
    <row r="248" spans="1:6" ht="12.75">
      <c r="A248" s="209" t="s">
        <v>757</v>
      </c>
      <c r="D248" s="243"/>
      <c r="E248" s="229">
        <f>((PRODUCTION!C6)*(E4*E236))/60*E241</f>
        <v>1216.6666666666667</v>
      </c>
      <c r="F248" s="261"/>
    </row>
    <row r="249" spans="1:6" ht="12.75">
      <c r="A249" s="209" t="s">
        <v>758</v>
      </c>
      <c r="D249" s="217"/>
      <c r="E249" s="231">
        <f>((E4*E237*E242)/60*E241)*E247</f>
        <v>869.0476190476192</v>
      </c>
      <c r="F249" s="261"/>
    </row>
    <row r="250" spans="1:6" ht="12.75">
      <c r="A250" s="209" t="s">
        <v>759</v>
      </c>
      <c r="D250" s="217"/>
      <c r="E250" s="231">
        <f>((E238*E246)/60)*E241*E247</f>
        <v>869.0476190476192</v>
      </c>
      <c r="F250" s="261"/>
    </row>
    <row r="251" spans="1:6" ht="12.75">
      <c r="A251" s="209" t="s">
        <v>760</v>
      </c>
      <c r="D251" s="217"/>
      <c r="E251" s="231">
        <f>(E239*E240)/60*E241*E247</f>
        <v>347.6190476190476</v>
      </c>
      <c r="F251" s="261"/>
    </row>
    <row r="252" spans="4:6" ht="12.75">
      <c r="D252" s="226" t="s">
        <v>717</v>
      </c>
      <c r="E252" s="231">
        <f>SUM(E248:E251)</f>
        <v>3302.3809523809527</v>
      </c>
      <c r="F252" s="261"/>
    </row>
    <row r="253" spans="1:7" ht="12.75">
      <c r="A253" s="206"/>
      <c r="B253" s="206"/>
      <c r="C253" s="206"/>
      <c r="D253" s="206"/>
      <c r="E253" s="207"/>
      <c r="F253" s="208"/>
      <c r="G253" s="208"/>
    </row>
    <row r="254" spans="1:6" ht="15.75">
      <c r="A254" s="227" t="s">
        <v>875</v>
      </c>
      <c r="E254" s="226"/>
      <c r="F254" s="217"/>
    </row>
    <row r="255" spans="1:7" ht="12.75">
      <c r="A255" s="206"/>
      <c r="B255" s="206"/>
      <c r="C255" s="206"/>
      <c r="D255" s="206"/>
      <c r="E255" s="240"/>
      <c r="F255" s="264"/>
      <c r="G255" s="208"/>
    </row>
    <row r="256" spans="1:6" ht="12.75">
      <c r="A256" s="247" t="s">
        <v>518</v>
      </c>
      <c r="B256" s="247"/>
      <c r="C256" s="234"/>
      <c r="D256" s="234"/>
      <c r="E256" s="222">
        <f>(PRODUCTION!B$6)</f>
        <v>365</v>
      </c>
      <c r="F256" s="243"/>
    </row>
    <row r="257" spans="1:6" ht="12.75">
      <c r="A257" s="247"/>
      <c r="B257" s="234"/>
      <c r="C257" s="234"/>
      <c r="D257" s="234"/>
      <c r="E257" s="247"/>
      <c r="F257" s="243"/>
    </row>
    <row r="258" spans="1:6" ht="12.75">
      <c r="A258" s="265" t="s">
        <v>365</v>
      </c>
      <c r="B258" s="234"/>
      <c r="C258" s="234"/>
      <c r="D258" s="234"/>
      <c r="E258" s="266" t="str">
        <f>D346</f>
        <v>On-Farm</v>
      </c>
      <c r="F258" s="243"/>
    </row>
    <row r="259" spans="1:6" ht="12.75">
      <c r="A259" s="209" t="s">
        <v>677</v>
      </c>
      <c r="E259" s="267">
        <f>(OnFarmStud!E264)</f>
        <v>16</v>
      </c>
      <c r="F259" s="243"/>
    </row>
    <row r="260" spans="1:6" ht="12.75">
      <c r="A260" s="209" t="s">
        <v>678</v>
      </c>
      <c r="E260" s="267">
        <f>(OnFarmStud!E265)</f>
        <v>1500</v>
      </c>
      <c r="F260" s="243"/>
    </row>
    <row r="261" spans="1:6" ht="12.75">
      <c r="A261" s="209" t="s">
        <v>876</v>
      </c>
      <c r="E261" s="267">
        <f>(OnFarmStud!E266)</f>
        <v>100</v>
      </c>
      <c r="F261" s="243"/>
    </row>
    <row r="262" spans="1:6" ht="12.75">
      <c r="A262" s="211" t="s">
        <v>753</v>
      </c>
      <c r="F262" s="243"/>
    </row>
    <row r="263" spans="1:6" ht="12.75">
      <c r="A263" s="209" t="s">
        <v>519</v>
      </c>
      <c r="E263" s="261">
        <f>INT(PRODUCTION!B68)+1</f>
        <v>2</v>
      </c>
      <c r="F263" s="243"/>
    </row>
    <row r="264" spans="1:6" ht="12.75">
      <c r="A264" s="209" t="s">
        <v>680</v>
      </c>
      <c r="E264" s="217">
        <f>E263*E260-(E261*E263)</f>
        <v>2800</v>
      </c>
      <c r="F264" s="243"/>
    </row>
    <row r="265" spans="1:6" ht="12.75">
      <c r="A265" s="209" t="s">
        <v>682</v>
      </c>
      <c r="E265" s="252">
        <f>(E264/(E259*30))*(PRODUCTION!B6)</f>
        <v>2129.1666666666665</v>
      </c>
      <c r="F265" s="243"/>
    </row>
    <row r="266" spans="1:6" ht="12.75">
      <c r="A266" s="209" t="s">
        <v>877</v>
      </c>
      <c r="E266" s="233">
        <f>D355</f>
        <v>499.57228400342177</v>
      </c>
      <c r="F266" s="243"/>
    </row>
    <row r="267" spans="1:6" ht="12.75">
      <c r="A267" s="209" t="s">
        <v>879</v>
      </c>
      <c r="E267" s="236">
        <f>E265/E266</f>
        <v>4.261979166666666</v>
      </c>
      <c r="F267" s="217"/>
    </row>
    <row r="268" spans="1:7" ht="12.75">
      <c r="A268" s="206"/>
      <c r="B268" s="206"/>
      <c r="C268" s="206"/>
      <c r="D268" s="206"/>
      <c r="E268" s="206"/>
      <c r="F268" s="264"/>
      <c r="G268" s="208"/>
    </row>
    <row r="269" spans="1:6" ht="15.75">
      <c r="A269" s="227" t="s">
        <v>683</v>
      </c>
      <c r="E269" s="209"/>
      <c r="F269" s="217"/>
    </row>
    <row r="270" spans="1:7" ht="12.75">
      <c r="A270" s="206"/>
      <c r="B270" s="206"/>
      <c r="C270" s="206"/>
      <c r="D270" s="206"/>
      <c r="E270" s="206"/>
      <c r="F270" s="264"/>
      <c r="G270" s="208"/>
    </row>
    <row r="271" spans="1:6" ht="12.75">
      <c r="A271" s="247" t="s">
        <v>518</v>
      </c>
      <c r="B271" s="247"/>
      <c r="C271" s="234"/>
      <c r="D271" s="234"/>
      <c r="E271" s="222">
        <f>(PRODUCTION!B$6)</f>
        <v>365</v>
      </c>
      <c r="F271" s="243"/>
    </row>
    <row r="272" spans="1:6" ht="12.75">
      <c r="A272" s="247"/>
      <c r="B272" s="234"/>
      <c r="C272" s="234"/>
      <c r="D272" s="234"/>
      <c r="E272" s="247"/>
      <c r="F272" s="243"/>
    </row>
    <row r="273" spans="1:6" ht="12.75">
      <c r="A273" s="265" t="s">
        <v>365</v>
      </c>
      <c r="B273" s="234"/>
      <c r="C273" s="234"/>
      <c r="D273" s="234"/>
      <c r="E273" s="266" t="str">
        <f>D346</f>
        <v>On-Farm</v>
      </c>
      <c r="F273" s="243"/>
    </row>
    <row r="274" spans="1:6" ht="12.75">
      <c r="A274" s="209" t="s">
        <v>692</v>
      </c>
      <c r="E274" s="268">
        <f>(OnFarmStud!E279)</f>
        <v>0.5</v>
      </c>
      <c r="F274" s="243"/>
    </row>
    <row r="275" spans="1:6" ht="12.75">
      <c r="A275" s="209" t="s">
        <v>684</v>
      </c>
      <c r="E275" s="268">
        <f>(OnFarmStud!E280)</f>
        <v>150</v>
      </c>
      <c r="F275" s="243"/>
    </row>
    <row r="276" spans="1:6" ht="12.75">
      <c r="A276" s="209" t="s">
        <v>687</v>
      </c>
      <c r="E276" s="268">
        <f>(OnFarmStud!E281)</f>
        <v>70</v>
      </c>
      <c r="F276" s="222"/>
    </row>
    <row r="277" spans="1:6" ht="12.75">
      <c r="A277" s="209" t="s">
        <v>880</v>
      </c>
      <c r="E277" s="269">
        <f>(OnFarmStud!E282)</f>
        <v>5</v>
      </c>
      <c r="F277" s="243"/>
    </row>
    <row r="278" spans="1:6" ht="12.75">
      <c r="A278" s="209" t="s">
        <v>686</v>
      </c>
      <c r="E278" s="268">
        <f>(OnFarmStud!E283)</f>
        <v>0.05</v>
      </c>
      <c r="F278" s="243"/>
    </row>
    <row r="279" spans="1:6" ht="12.75">
      <c r="A279" s="211" t="s">
        <v>753</v>
      </c>
      <c r="F279" s="243"/>
    </row>
    <row r="280" spans="1:6" ht="12.75">
      <c r="A280" s="209" t="s">
        <v>520</v>
      </c>
      <c r="E280" s="223">
        <f>INT(PRODUCTION!B73)+1</f>
        <v>1</v>
      </c>
      <c r="F280" s="243"/>
    </row>
    <row r="281" spans="1:6" ht="12.75">
      <c r="A281" s="209" t="s">
        <v>881</v>
      </c>
      <c r="E281" s="223">
        <f>(PRODUCTION!B6)*E280*E277</f>
        <v>1825</v>
      </c>
      <c r="F281" s="243"/>
    </row>
    <row r="282" spans="1:6" ht="12.75">
      <c r="A282" s="209" t="s">
        <v>882</v>
      </c>
      <c r="E282" s="223">
        <f>D355</f>
        <v>499.57228400342177</v>
      </c>
      <c r="F282" s="243"/>
    </row>
    <row r="283" spans="1:6" ht="12.75">
      <c r="A283" s="209" t="s">
        <v>883</v>
      </c>
      <c r="E283" s="243">
        <f>(PRODUCTION!B6)*E280*E277*E278</f>
        <v>91.25</v>
      </c>
      <c r="F283" s="243"/>
    </row>
    <row r="284" spans="1:6" ht="12.75">
      <c r="A284" s="209" t="s">
        <v>884</v>
      </c>
      <c r="E284" s="243">
        <f>(PRODUCTION!B6)*E274</f>
        <v>182.5</v>
      </c>
      <c r="F284" s="243"/>
    </row>
    <row r="285" spans="1:6" ht="12.75">
      <c r="A285" s="209" t="s">
        <v>693</v>
      </c>
      <c r="E285" s="243">
        <f>(E280*E275)-(E280*E276)</f>
        <v>80</v>
      </c>
      <c r="F285" s="243"/>
    </row>
    <row r="286" spans="1:6" ht="12.75">
      <c r="A286" s="270" t="s">
        <v>885</v>
      </c>
      <c r="C286" s="247"/>
      <c r="E286" s="245">
        <f>(E283+E284+E285)/E282</f>
        <v>0.7081057363013697</v>
      </c>
      <c r="F286" s="243"/>
    </row>
    <row r="287" spans="1:7" ht="12.75">
      <c r="A287" s="206"/>
      <c r="B287" s="206"/>
      <c r="C287" s="207"/>
      <c r="D287" s="206"/>
      <c r="E287" s="206"/>
      <c r="F287" s="264"/>
      <c r="G287" s="208"/>
    </row>
    <row r="288" spans="1:6" ht="15.75">
      <c r="A288" s="227" t="s">
        <v>403</v>
      </c>
      <c r="E288" s="238"/>
      <c r="F288" s="252"/>
    </row>
    <row r="289" spans="1:7" ht="15.75">
      <c r="A289" s="271"/>
      <c r="B289" s="239"/>
      <c r="C289" s="239"/>
      <c r="D289" s="206"/>
      <c r="E289" s="272"/>
      <c r="F289" s="273"/>
      <c r="G289" s="208"/>
    </row>
    <row r="290" spans="1:6" ht="12.75">
      <c r="A290" s="247" t="s">
        <v>518</v>
      </c>
      <c r="B290" s="247"/>
      <c r="C290" s="222">
        <f>E271</f>
        <v>365</v>
      </c>
      <c r="D290" s="247"/>
      <c r="E290" s="222"/>
      <c r="F290" s="243"/>
    </row>
    <row r="291" spans="1:6" ht="12.75">
      <c r="A291" s="247"/>
      <c r="B291" s="247"/>
      <c r="C291" s="247"/>
      <c r="D291" s="222"/>
      <c r="E291" s="222"/>
      <c r="F291" s="243"/>
    </row>
    <row r="292" spans="1:6" ht="12.75">
      <c r="A292" s="266" t="s">
        <v>761</v>
      </c>
      <c r="B292" s="247"/>
      <c r="C292" s="266" t="str">
        <f>(PRODUCTION!C4)</f>
        <v>Coop</v>
      </c>
      <c r="D292" s="213"/>
      <c r="E292" s="222"/>
      <c r="F292" s="243"/>
    </row>
    <row r="293" spans="1:6" ht="12.75">
      <c r="A293" s="210" t="s">
        <v>697</v>
      </c>
      <c r="C293" s="213"/>
      <c r="E293" s="222"/>
      <c r="F293" s="243"/>
    </row>
    <row r="294" spans="1:6" ht="12.75">
      <c r="A294" s="209" t="s">
        <v>702</v>
      </c>
      <c r="C294" s="217">
        <f>(E$4*E$5*E$11)</f>
        <v>300</v>
      </c>
      <c r="D294" s="217"/>
      <c r="E294" s="222"/>
      <c r="F294" s="243"/>
    </row>
    <row r="295" spans="2:6" ht="12.75">
      <c r="B295" s="226" t="s">
        <v>730</v>
      </c>
      <c r="C295" s="274">
        <f>C294</f>
        <v>300</v>
      </c>
      <c r="E295" s="222"/>
      <c r="F295" s="243"/>
    </row>
    <row r="296" spans="1:6" ht="12.75">
      <c r="A296" s="210" t="s">
        <v>704</v>
      </c>
      <c r="C296" s="213"/>
      <c r="E296" s="222"/>
      <c r="F296" s="243"/>
    </row>
    <row r="297" spans="1:9" ht="12.75">
      <c r="A297" s="209" t="s">
        <v>705</v>
      </c>
      <c r="C297" s="217">
        <f>E221</f>
        <v>8283.632687994592</v>
      </c>
      <c r="E297" s="222"/>
      <c r="F297" s="243"/>
      <c r="I297" s="238"/>
    </row>
    <row r="298" spans="1:9" ht="12.75">
      <c r="A298" s="209" t="s">
        <v>763</v>
      </c>
      <c r="C298" s="217">
        <f>C137</f>
        <v>1440.763333333333</v>
      </c>
      <c r="E298" s="222"/>
      <c r="F298" s="243"/>
      <c r="I298" s="238"/>
    </row>
    <row r="299" spans="2:9" ht="12.75">
      <c r="B299" s="226" t="s">
        <v>730</v>
      </c>
      <c r="C299" s="229">
        <f>SUM(C297:C298)</f>
        <v>9724.396021327924</v>
      </c>
      <c r="E299" s="222"/>
      <c r="F299" s="243"/>
      <c r="I299" s="238"/>
    </row>
    <row r="300" spans="3:9" ht="12.75">
      <c r="C300" s="275"/>
      <c r="E300" s="222"/>
      <c r="F300" s="243"/>
      <c r="I300" s="238"/>
    </row>
    <row r="301" spans="1:9" ht="12.75">
      <c r="A301" s="276" t="s">
        <v>765</v>
      </c>
      <c r="C301" s="229">
        <f>C295+C299</f>
        <v>10024.396021327924</v>
      </c>
      <c r="D301" s="261"/>
      <c r="E301" s="222"/>
      <c r="F301" s="243"/>
      <c r="I301" s="238"/>
    </row>
    <row r="302" spans="1:9" ht="12.75">
      <c r="A302" s="206"/>
      <c r="B302" s="206"/>
      <c r="C302" s="206"/>
      <c r="D302" s="206"/>
      <c r="E302" s="272"/>
      <c r="F302" s="273"/>
      <c r="G302" s="208"/>
      <c r="I302" s="238"/>
    </row>
    <row r="303" spans="1:9" ht="15.75">
      <c r="A303" s="227" t="s">
        <v>402</v>
      </c>
      <c r="D303" s="226"/>
      <c r="E303" s="222"/>
      <c r="F303" s="243"/>
      <c r="I303" s="238"/>
    </row>
    <row r="304" spans="1:9" ht="12.75">
      <c r="A304" s="206"/>
      <c r="B304" s="206"/>
      <c r="C304" s="206"/>
      <c r="D304" s="206"/>
      <c r="E304" s="272"/>
      <c r="F304" s="273"/>
      <c r="G304" s="208"/>
      <c r="I304" s="238"/>
    </row>
    <row r="305" spans="1:9" ht="12.75">
      <c r="A305" s="247" t="s">
        <v>518</v>
      </c>
      <c r="B305" s="247"/>
      <c r="C305" s="222">
        <f>E271</f>
        <v>365</v>
      </c>
      <c r="D305" s="234"/>
      <c r="E305" s="222"/>
      <c r="F305" s="234"/>
      <c r="G305" s="234"/>
      <c r="I305" s="238"/>
    </row>
    <row r="306" spans="1:9" ht="12.75">
      <c r="A306" s="247"/>
      <c r="B306" s="234"/>
      <c r="C306" s="247"/>
      <c r="D306" s="286" t="s">
        <v>736</v>
      </c>
      <c r="E306" s="222"/>
      <c r="F306" s="234"/>
      <c r="G306" s="234"/>
      <c r="I306" s="238"/>
    </row>
    <row r="307" spans="1:9" ht="12.75">
      <c r="A307" s="266" t="s">
        <v>761</v>
      </c>
      <c r="B307" s="234"/>
      <c r="C307" s="266" t="str">
        <f>(PRODUCTION!C4)</f>
        <v>Coop</v>
      </c>
      <c r="D307" s="286" t="s">
        <v>737</v>
      </c>
      <c r="E307" s="222"/>
      <c r="F307" s="234"/>
      <c r="G307" s="234"/>
      <c r="I307" s="238"/>
    </row>
    <row r="308" spans="1:9" ht="12.75">
      <c r="A308" s="209" t="s">
        <v>762</v>
      </c>
      <c r="B308" s="217"/>
      <c r="C308" s="217">
        <f>(E$5*E$6*E$8)</f>
        <v>240</v>
      </c>
      <c r="D308" s="261">
        <f>(C308/E8)</f>
        <v>24</v>
      </c>
      <c r="E308" s="222"/>
      <c r="F308" s="243"/>
      <c r="I308" s="238"/>
    </row>
    <row r="309" spans="1:6" ht="12.75">
      <c r="A309" s="209" t="s">
        <v>699</v>
      </c>
      <c r="C309" s="217">
        <f>(E$7*E$8*E4)</f>
        <v>116.5</v>
      </c>
      <c r="D309" s="261">
        <f>(C309/E8)</f>
        <v>11.65</v>
      </c>
      <c r="E309" s="222"/>
      <c r="F309" s="243"/>
    </row>
    <row r="310" spans="1:7" ht="12.75">
      <c r="A310" s="234" t="s">
        <v>409</v>
      </c>
      <c r="B310" s="234"/>
      <c r="C310" s="277">
        <f>E249</f>
        <v>869.0476190476192</v>
      </c>
      <c r="D310" s="224">
        <f>(C310/E$241)</f>
        <v>86.90476190476191</v>
      </c>
      <c r="E310" s="222"/>
      <c r="F310" s="234"/>
      <c r="G310" s="234"/>
    </row>
    <row r="311" spans="1:7" ht="12.75">
      <c r="A311" s="234" t="s">
        <v>408</v>
      </c>
      <c r="B311" s="234"/>
      <c r="C311" s="277">
        <f>E250</f>
        <v>869.0476190476192</v>
      </c>
      <c r="D311" s="224">
        <f>(C311/E$241)</f>
        <v>86.90476190476191</v>
      </c>
      <c r="E311" s="222"/>
      <c r="F311" s="234"/>
      <c r="G311" s="234"/>
    </row>
    <row r="312" spans="1:7" ht="12.75">
      <c r="A312" s="234" t="s">
        <v>407</v>
      </c>
      <c r="B312" s="234"/>
      <c r="C312" s="277">
        <f>E251</f>
        <v>347.6190476190476</v>
      </c>
      <c r="D312" s="224">
        <f>(C312/E$241)</f>
        <v>34.76190476190476</v>
      </c>
      <c r="E312" s="222"/>
      <c r="F312" s="234"/>
      <c r="G312" s="234"/>
    </row>
    <row r="313" spans="1:6" ht="12.75">
      <c r="A313" s="209" t="s">
        <v>764</v>
      </c>
      <c r="C313" s="217">
        <f>E248</f>
        <v>1216.6666666666667</v>
      </c>
      <c r="D313" s="261">
        <f>(C313/E241)</f>
        <v>121.66666666666667</v>
      </c>
      <c r="E313" s="222"/>
      <c r="F313" s="243"/>
    </row>
    <row r="314" spans="1:6" ht="12.75">
      <c r="A314" s="209" t="s">
        <v>404</v>
      </c>
      <c r="C314" s="217">
        <f>(E$4*E$5*E$10*E$9)</f>
        <v>108</v>
      </c>
      <c r="D314" s="217"/>
      <c r="E314" s="222"/>
      <c r="F314" s="243"/>
    </row>
    <row r="315" spans="1:6" ht="12.75">
      <c r="A315" s="209" t="s">
        <v>405</v>
      </c>
      <c r="C315" s="217">
        <f>E$12*E$4</f>
        <v>600</v>
      </c>
      <c r="D315" s="217"/>
      <c r="E315" s="222"/>
      <c r="F315" s="243"/>
    </row>
    <row r="316" spans="1:6" ht="12.75">
      <c r="A316" s="209" t="s">
        <v>406</v>
      </c>
      <c r="C316" s="217">
        <f>E231</f>
        <v>547.5</v>
      </c>
      <c r="E316" s="222"/>
      <c r="F316" s="243"/>
    </row>
    <row r="317" spans="1:7" ht="12.75">
      <c r="A317" s="234" t="s">
        <v>708</v>
      </c>
      <c r="B317" s="234"/>
      <c r="C317" s="277">
        <f>C138</f>
        <v>22774.158633453062</v>
      </c>
      <c r="D317" s="278"/>
      <c r="E317" s="222"/>
      <c r="F317" s="243"/>
      <c r="G317" s="234"/>
    </row>
    <row r="318" spans="1:7" ht="12.75">
      <c r="A318" s="234"/>
      <c r="B318" s="234"/>
      <c r="C318" s="234"/>
      <c r="D318" s="234"/>
      <c r="E318" s="222"/>
      <c r="F318" s="243"/>
      <c r="G318" s="234"/>
    </row>
    <row r="319" spans="1:7" ht="12.75">
      <c r="A319" s="234" t="s">
        <v>766</v>
      </c>
      <c r="B319" s="234"/>
      <c r="C319" s="229">
        <f>SUM(C308:C317)</f>
        <v>27688.539585834016</v>
      </c>
      <c r="D319" s="287">
        <f>SUM(D308:D313)</f>
        <v>365.8880952380953</v>
      </c>
      <c r="E319" s="222"/>
      <c r="F319" s="243"/>
      <c r="G319" s="234"/>
    </row>
    <row r="320" spans="1:7" ht="12.75">
      <c r="A320" s="206"/>
      <c r="B320" s="206"/>
      <c r="C320" s="206"/>
      <c r="D320" s="206"/>
      <c r="E320" s="272"/>
      <c r="F320" s="273"/>
      <c r="G320" s="208"/>
    </row>
    <row r="321" spans="1:6" ht="15.75">
      <c r="A321" s="227" t="s">
        <v>841</v>
      </c>
      <c r="D321" s="226"/>
      <c r="F321" s="217"/>
    </row>
    <row r="322" spans="1:7" ht="12.75">
      <c r="A322" s="206"/>
      <c r="B322" s="206"/>
      <c r="C322" s="206"/>
      <c r="D322" s="206"/>
      <c r="E322" s="272"/>
      <c r="F322" s="273"/>
      <c r="G322" s="208"/>
    </row>
    <row r="323" spans="1:6" ht="12.75">
      <c r="A323" s="247" t="s">
        <v>518</v>
      </c>
      <c r="B323" s="247"/>
      <c r="C323" s="234"/>
      <c r="D323" s="222">
        <f>E271</f>
        <v>365</v>
      </c>
      <c r="E323" s="222"/>
      <c r="F323" s="243"/>
    </row>
    <row r="324" spans="1:6" ht="12.75">
      <c r="A324" s="247" t="s">
        <v>368</v>
      </c>
      <c r="B324" s="247"/>
      <c r="C324" s="234"/>
      <c r="D324" s="243">
        <f>C301</f>
        <v>10024.396021327924</v>
      </c>
      <c r="E324" s="222"/>
      <c r="F324" s="243"/>
    </row>
    <row r="325" spans="1:6" ht="12.75">
      <c r="A325" s="247" t="s">
        <v>344</v>
      </c>
      <c r="B325" s="247"/>
      <c r="C325" s="234"/>
      <c r="D325" s="243">
        <f>C319</f>
        <v>27688.539585834016</v>
      </c>
      <c r="E325" s="222"/>
      <c r="F325" s="243"/>
    </row>
    <row r="326" spans="1:6" ht="12.75">
      <c r="A326" s="247" t="s">
        <v>370</v>
      </c>
      <c r="B326" s="247"/>
      <c r="C326" s="234"/>
      <c r="D326" s="243">
        <f>E265</f>
        <v>2129.1666666666665</v>
      </c>
      <c r="E326" s="222"/>
      <c r="F326" s="243"/>
    </row>
    <row r="327" spans="1:6" ht="12.75">
      <c r="A327" s="209" t="s">
        <v>371</v>
      </c>
      <c r="B327" s="247"/>
      <c r="C327" s="234"/>
      <c r="D327" s="243">
        <f>E285</f>
        <v>80</v>
      </c>
      <c r="E327" s="222"/>
      <c r="F327" s="243"/>
    </row>
    <row r="328" spans="1:6" ht="12.75">
      <c r="A328" s="247" t="s">
        <v>367</v>
      </c>
      <c r="B328" s="234"/>
      <c r="C328" s="234"/>
      <c r="D328" s="279">
        <f>SUM(D324:D327)</f>
        <v>39922.102273828605</v>
      </c>
      <c r="E328" s="222"/>
      <c r="F328" s="243"/>
    </row>
    <row r="329" spans="1:7" ht="12.75">
      <c r="A329" s="206"/>
      <c r="B329" s="206"/>
      <c r="C329" s="206"/>
      <c r="D329" s="206"/>
      <c r="E329" s="272"/>
      <c r="F329" s="273"/>
      <c r="G329" s="208"/>
    </row>
    <row r="330" spans="1:6" ht="15.75">
      <c r="A330" s="280" t="s">
        <v>768</v>
      </c>
      <c r="B330" s="281" t="str">
        <f>(PRODUCTION!B4)</f>
        <v>On-Farm</v>
      </c>
      <c r="C330" s="281" t="str">
        <f>(PRODUCTION!B5)</f>
        <v>Semen</v>
      </c>
      <c r="E330" s="222"/>
      <c r="F330" s="243"/>
    </row>
    <row r="331" spans="1:7" ht="12.75">
      <c r="A331" s="206"/>
      <c r="B331" s="206"/>
      <c r="C331" s="206"/>
      <c r="D331" s="206"/>
      <c r="E331" s="272"/>
      <c r="F331" s="273"/>
      <c r="G331" s="208"/>
    </row>
    <row r="332" spans="1:6" ht="12.75">
      <c r="A332" s="247" t="s">
        <v>518</v>
      </c>
      <c r="B332" s="247"/>
      <c r="D332" s="222">
        <f>E271</f>
        <v>365</v>
      </c>
      <c r="E332" s="222"/>
      <c r="F332" s="243"/>
    </row>
    <row r="333" spans="1:6" ht="12.75">
      <c r="A333" s="209" t="s">
        <v>861</v>
      </c>
      <c r="D333" s="261">
        <f>(PRODUCTION!B132)</f>
        <v>10.428571428571429</v>
      </c>
      <c r="E333" s="222"/>
      <c r="F333" s="243"/>
    </row>
    <row r="334" spans="1:6" ht="12.75">
      <c r="A334" s="270" t="s">
        <v>862</v>
      </c>
      <c r="D334" s="233">
        <f>(PRODUCTION!B75)</f>
        <v>23.952095808383234</v>
      </c>
      <c r="E334" s="222"/>
      <c r="F334" s="243"/>
    </row>
    <row r="335" spans="1:6" ht="12.75">
      <c r="A335" s="270" t="s">
        <v>523</v>
      </c>
      <c r="D335" s="233">
        <f>(PRODUCTION!B63)</f>
        <v>47.90419161676647</v>
      </c>
      <c r="E335" s="222"/>
      <c r="F335" s="243"/>
    </row>
    <row r="336" spans="1:6" ht="12.75">
      <c r="A336" s="270" t="s">
        <v>863</v>
      </c>
      <c r="D336" s="233">
        <f>(PRODUCTION!B124)</f>
        <v>499.57228400342177</v>
      </c>
      <c r="E336" s="222"/>
      <c r="F336" s="243"/>
    </row>
    <row r="337" spans="1:6" ht="12.75">
      <c r="A337" s="270" t="s">
        <v>864</v>
      </c>
      <c r="D337" s="233">
        <f>(PRODUCTION!B120)</f>
        <v>249.78614200171089</v>
      </c>
      <c r="E337" s="222"/>
      <c r="F337" s="243"/>
    </row>
    <row r="338" spans="1:6" ht="12.75">
      <c r="A338" s="270" t="s">
        <v>529</v>
      </c>
      <c r="D338" s="233">
        <f>(PRODUCTION!B126)</f>
        <v>208.57142857142858</v>
      </c>
      <c r="E338" s="222"/>
      <c r="F338" s="222"/>
    </row>
    <row r="339" spans="1:6" ht="12.75">
      <c r="A339" s="270" t="s">
        <v>865</v>
      </c>
      <c r="D339" s="233">
        <f>INT(PRODUCTION!B134)</f>
        <v>1981</v>
      </c>
      <c r="E339" s="222"/>
      <c r="F339" s="243"/>
    </row>
    <row r="340" spans="1:9" ht="12.75">
      <c r="A340" s="270" t="s">
        <v>866</v>
      </c>
      <c r="D340" s="233">
        <f>(PRODUCTION!B135)</f>
        <v>1931</v>
      </c>
      <c r="E340" s="222"/>
      <c r="F340" s="243"/>
      <c r="I340" s="209"/>
    </row>
    <row r="341" spans="1:7" ht="12.75">
      <c r="A341" s="206"/>
      <c r="B341" s="206"/>
      <c r="C341" s="206"/>
      <c r="D341" s="206"/>
      <c r="E341" s="272"/>
      <c r="F341" s="273"/>
      <c r="G341" s="208"/>
    </row>
    <row r="342" spans="1:6" ht="15.75">
      <c r="A342" s="227" t="s">
        <v>867</v>
      </c>
      <c r="F342" s="217"/>
    </row>
    <row r="343" spans="1:7" ht="12.75">
      <c r="A343" s="206"/>
      <c r="B343" s="206"/>
      <c r="C343" s="206"/>
      <c r="D343" s="206"/>
      <c r="E343" s="272"/>
      <c r="F343" s="273"/>
      <c r="G343" s="208"/>
    </row>
    <row r="344" spans="1:6" ht="12.75">
      <c r="A344" s="247" t="s">
        <v>518</v>
      </c>
      <c r="B344" s="247"/>
      <c r="C344" s="234"/>
      <c r="D344" s="222">
        <f>E271</f>
        <v>365</v>
      </c>
      <c r="E344" s="222"/>
      <c r="F344" s="243"/>
    </row>
    <row r="345" spans="1:6" ht="12.75">
      <c r="A345" s="247"/>
      <c r="B345" s="234"/>
      <c r="C345" s="247"/>
      <c r="D345" s="247"/>
      <c r="E345" s="222"/>
      <c r="F345" s="243"/>
    </row>
    <row r="346" spans="1:6" ht="12.75">
      <c r="A346" s="266" t="s">
        <v>754</v>
      </c>
      <c r="B346" s="234"/>
      <c r="C346" s="247"/>
      <c r="D346" s="266" t="str">
        <f>B330</f>
        <v>On-Farm</v>
      </c>
      <c r="E346" s="222"/>
      <c r="F346" s="243"/>
    </row>
    <row r="347" spans="1:6" ht="12.75">
      <c r="A347" s="234" t="s">
        <v>412</v>
      </c>
      <c r="B347" s="234"/>
      <c r="C347" s="222"/>
      <c r="D347" s="214">
        <v>100</v>
      </c>
      <c r="F347" s="217"/>
    </row>
    <row r="348" spans="1:6" ht="12.75">
      <c r="A348" s="209" t="s">
        <v>868</v>
      </c>
      <c r="C348" s="213"/>
      <c r="D348" s="214">
        <v>2</v>
      </c>
      <c r="F348" s="217"/>
    </row>
    <row r="349" spans="1:6" ht="12.75">
      <c r="A349" s="209" t="s">
        <v>869</v>
      </c>
      <c r="C349" s="215"/>
      <c r="D349" s="216">
        <v>0.32</v>
      </c>
      <c r="F349" s="217"/>
    </row>
    <row r="350" spans="1:6" ht="12.75">
      <c r="A350" s="209" t="s">
        <v>870</v>
      </c>
      <c r="D350" s="216">
        <v>0.4</v>
      </c>
      <c r="F350" s="217"/>
    </row>
    <row r="351" spans="1:6" ht="12.75">
      <c r="A351" s="211" t="s">
        <v>753</v>
      </c>
      <c r="D351" s="232"/>
      <c r="E351" s="222"/>
      <c r="F351" s="243"/>
    </row>
    <row r="352" spans="1:6" ht="12.75">
      <c r="A352" s="209" t="s">
        <v>871</v>
      </c>
      <c r="D352" s="217">
        <f>((D347*2)*D349)+((D347*2)*D350)</f>
        <v>144</v>
      </c>
      <c r="F352" s="217"/>
    </row>
    <row r="353" spans="1:6" ht="12.75">
      <c r="A353" s="209" t="s">
        <v>861</v>
      </c>
      <c r="D353" s="261">
        <f>D333</f>
        <v>10.428571428571429</v>
      </c>
      <c r="F353" s="217"/>
    </row>
    <row r="354" spans="1:6" ht="12.75">
      <c r="A354" s="209" t="s">
        <v>872</v>
      </c>
      <c r="D354" s="217">
        <f>D352*D353</f>
        <v>1501.7142857142858</v>
      </c>
      <c r="F354" s="217"/>
    </row>
    <row r="355" spans="1:6" ht="12.75">
      <c r="A355" s="209" t="s">
        <v>873</v>
      </c>
      <c r="D355" s="233">
        <f>(PRODUCTION!B63)*D353</f>
        <v>499.57228400342177</v>
      </c>
      <c r="F355" s="217"/>
    </row>
    <row r="356" spans="1:6" ht="12.75">
      <c r="A356" s="209" t="s">
        <v>874</v>
      </c>
      <c r="D356" s="236">
        <f>(D354/D355)</f>
        <v>3.006</v>
      </c>
      <c r="F356" s="217"/>
    </row>
    <row r="357" spans="1:7" ht="12.75">
      <c r="A357" s="206"/>
      <c r="B357" s="206"/>
      <c r="C357" s="206"/>
      <c r="D357" s="206"/>
      <c r="E357" s="272"/>
      <c r="F357" s="273"/>
      <c r="G357" s="208"/>
    </row>
    <row r="358" spans="1:6" ht="15.75">
      <c r="A358" s="227" t="s">
        <v>886</v>
      </c>
      <c r="C358" s="213"/>
      <c r="E358" s="215"/>
      <c r="F358" s="217"/>
    </row>
    <row r="359" spans="1:9" ht="12.75">
      <c r="A359" s="239"/>
      <c r="B359" s="239"/>
      <c r="C359" s="240"/>
      <c r="D359" s="239"/>
      <c r="E359" s="272"/>
      <c r="F359" s="273"/>
      <c r="G359" s="208"/>
      <c r="I359" s="209"/>
    </row>
    <row r="360" spans="1:7" ht="12.75">
      <c r="A360" s="247" t="s">
        <v>518</v>
      </c>
      <c r="B360" s="247"/>
      <c r="C360" s="234"/>
      <c r="D360" s="222">
        <f>E271</f>
        <v>365</v>
      </c>
      <c r="E360" s="232"/>
      <c r="F360" s="243"/>
      <c r="G360" s="234"/>
    </row>
    <row r="361" spans="1:7" ht="12.75">
      <c r="A361" s="247"/>
      <c r="B361" s="247"/>
      <c r="C361" s="222"/>
      <c r="D361" s="247"/>
      <c r="E361" s="232"/>
      <c r="F361" s="243"/>
      <c r="G361" s="234"/>
    </row>
    <row r="362" spans="1:7" ht="12.75">
      <c r="A362" s="266" t="s">
        <v>761</v>
      </c>
      <c r="B362" s="234"/>
      <c r="C362" s="266"/>
      <c r="D362" s="266" t="str">
        <f>D346</f>
        <v>On-Farm</v>
      </c>
      <c r="E362" s="245"/>
      <c r="F362" s="243"/>
      <c r="G362" s="234"/>
    </row>
    <row r="363" spans="1:7" ht="12.75">
      <c r="A363" s="234" t="s">
        <v>420</v>
      </c>
      <c r="B363" s="234"/>
      <c r="C363" s="222"/>
      <c r="D363" s="243">
        <f>(C301)*(E263/E22)</f>
        <v>954.7043829836118</v>
      </c>
      <c r="E363" s="232"/>
      <c r="F363" s="243"/>
      <c r="G363" s="234"/>
    </row>
    <row r="364" spans="1:7" ht="12.75">
      <c r="A364" s="234" t="s">
        <v>419</v>
      </c>
      <c r="B364" s="234"/>
      <c r="C364" s="222"/>
      <c r="D364" s="243">
        <f>C319*(D336/E31)</f>
        <v>461.47565976390024</v>
      </c>
      <c r="E364" s="232"/>
      <c r="F364" s="243"/>
      <c r="G364" s="234"/>
    </row>
    <row r="365" spans="1:7" ht="12.75">
      <c r="A365" s="234" t="s">
        <v>414</v>
      </c>
      <c r="B365" s="234"/>
      <c r="C365" s="232"/>
      <c r="D365" s="232">
        <f>D363/D355</f>
        <v>1.911043533746305</v>
      </c>
      <c r="E365" s="232"/>
      <c r="F365" s="243"/>
      <c r="G365" s="234"/>
    </row>
    <row r="366" spans="1:7" ht="12.75">
      <c r="A366" s="234" t="s">
        <v>411</v>
      </c>
      <c r="B366" s="234"/>
      <c r="C366" s="232"/>
      <c r="D366" s="232">
        <f>D364/D336</f>
        <v>0.9237415175753413</v>
      </c>
      <c r="E366" s="232"/>
      <c r="F366" s="243"/>
      <c r="G366" s="234"/>
    </row>
    <row r="367" spans="1:7" ht="12.75">
      <c r="A367" s="234" t="s">
        <v>874</v>
      </c>
      <c r="B367" s="234"/>
      <c r="C367" s="234"/>
      <c r="D367" s="232">
        <f>D356</f>
        <v>3.006</v>
      </c>
      <c r="E367" s="232"/>
      <c r="F367" s="243"/>
      <c r="G367" s="234"/>
    </row>
    <row r="368" spans="1:7" ht="12.75">
      <c r="A368" s="234" t="s">
        <v>879</v>
      </c>
      <c r="B368" s="234"/>
      <c r="C368" s="232"/>
      <c r="D368" s="232">
        <f>E267</f>
        <v>4.261979166666666</v>
      </c>
      <c r="E368" s="232"/>
      <c r="F368" s="243"/>
      <c r="G368" s="234"/>
    </row>
    <row r="369" spans="1:7" ht="12.75">
      <c r="A369" s="247" t="s">
        <v>885</v>
      </c>
      <c r="B369" s="234"/>
      <c r="C369" s="232"/>
      <c r="D369" s="232">
        <f>E286</f>
        <v>0.7081057363013697</v>
      </c>
      <c r="E369" s="232"/>
      <c r="F369" s="243"/>
      <c r="G369" s="234"/>
    </row>
    <row r="370" spans="1:7" ht="12.75">
      <c r="A370" s="294" t="s">
        <v>688</v>
      </c>
      <c r="B370" s="234"/>
      <c r="C370" s="232"/>
      <c r="D370" s="245">
        <f>SUM(D365:D369)</f>
        <v>10.810869954289682</v>
      </c>
      <c r="E370" s="232"/>
      <c r="F370" s="243"/>
      <c r="G370" s="234"/>
    </row>
    <row r="371" spans="1:7" ht="12.75">
      <c r="A371" s="206"/>
      <c r="B371" s="206"/>
      <c r="C371" s="207"/>
      <c r="D371" s="206"/>
      <c r="E371" s="282"/>
      <c r="F371" s="264"/>
      <c r="G371" s="208"/>
    </row>
    <row r="372" spans="1:5" ht="15.75">
      <c r="A372" s="227" t="s">
        <v>453</v>
      </c>
      <c r="C372" s="213"/>
      <c r="E372" s="232"/>
    </row>
    <row r="373" spans="1:7" ht="12.75">
      <c r="A373" s="206"/>
      <c r="B373" s="206"/>
      <c r="C373" s="207"/>
      <c r="D373" s="206"/>
      <c r="E373" s="282"/>
      <c r="F373" s="264"/>
      <c r="G373" s="208"/>
    </row>
    <row r="374" spans="1:9" ht="12.75">
      <c r="A374" s="247" t="s">
        <v>518</v>
      </c>
      <c r="B374" s="247"/>
      <c r="C374" s="234"/>
      <c r="D374" s="222">
        <f>E271</f>
        <v>365</v>
      </c>
      <c r="F374" s="243"/>
      <c r="G374" s="234"/>
      <c r="I374" s="209"/>
    </row>
    <row r="375" spans="1:7" ht="12.75">
      <c r="A375" s="234"/>
      <c r="B375" s="234"/>
      <c r="C375" s="222"/>
      <c r="D375" s="222"/>
      <c r="F375" s="243"/>
      <c r="G375" s="234"/>
    </row>
    <row r="376" spans="1:7" ht="12.75">
      <c r="A376" s="266" t="s">
        <v>761</v>
      </c>
      <c r="B376" s="234"/>
      <c r="C376" s="266"/>
      <c r="D376" s="266" t="str">
        <f>D346</f>
        <v>On-Farm</v>
      </c>
      <c r="F376" s="243"/>
      <c r="G376" s="234"/>
    </row>
    <row r="377" spans="1:7" ht="12.75">
      <c r="A377" s="234" t="s">
        <v>887</v>
      </c>
      <c r="B377" s="234"/>
      <c r="C377" s="222"/>
      <c r="D377" s="223">
        <f>(PRODUCTION!B120)</f>
        <v>249.78614200171089</v>
      </c>
      <c r="F377" s="243"/>
      <c r="G377" s="234"/>
    </row>
    <row r="378" spans="1:7" ht="12.75">
      <c r="A378" s="234" t="s">
        <v>711</v>
      </c>
      <c r="B378" s="234"/>
      <c r="C378" s="222"/>
      <c r="D378" s="223">
        <f>INT(PRODUCTION!B134)</f>
        <v>1981</v>
      </c>
      <c r="F378" s="243"/>
      <c r="G378" s="234"/>
    </row>
    <row r="379" spans="1:7" ht="12.75">
      <c r="A379" s="234" t="s">
        <v>467</v>
      </c>
      <c r="B379" s="234"/>
      <c r="C379" s="222"/>
      <c r="D379" s="223">
        <f>(PRODUCTION!B135)</f>
        <v>1931</v>
      </c>
      <c r="F379" s="243"/>
      <c r="G379" s="234"/>
    </row>
    <row r="380" spans="1:7" ht="12.75">
      <c r="A380" s="234" t="s">
        <v>888</v>
      </c>
      <c r="B380" s="234"/>
      <c r="C380" s="222"/>
      <c r="D380" s="223">
        <f>E282</f>
        <v>499.57228400342177</v>
      </c>
      <c r="F380" s="243"/>
      <c r="G380" s="234"/>
    </row>
    <row r="381" spans="1:7" ht="12.75">
      <c r="A381" s="234" t="s">
        <v>889</v>
      </c>
      <c r="B381" s="234"/>
      <c r="C381" s="222"/>
      <c r="D381" s="243">
        <f>(D370*D380)</f>
        <v>5400.810995128464</v>
      </c>
      <c r="F381" s="243"/>
      <c r="G381" s="234"/>
    </row>
    <row r="382" spans="1:7" ht="12.75">
      <c r="A382" s="234" t="s">
        <v>714</v>
      </c>
      <c r="B382" s="234"/>
      <c r="C382" s="222"/>
      <c r="D382" s="283">
        <f>D$381/(D377)</f>
        <v>21.621739908579364</v>
      </c>
      <c r="F382" s="243"/>
      <c r="G382" s="234"/>
    </row>
    <row r="383" spans="1:7" ht="12.75">
      <c r="A383" s="234" t="s">
        <v>715</v>
      </c>
      <c r="B383" s="234"/>
      <c r="C383" s="222"/>
      <c r="D383" s="283">
        <f>D$381/(D378)</f>
        <v>2.726305398853339</v>
      </c>
      <c r="F383" s="243"/>
      <c r="G383" s="234"/>
    </row>
    <row r="384" spans="1:7" ht="12.75">
      <c r="A384" s="234" t="s">
        <v>891</v>
      </c>
      <c r="B384" s="234"/>
      <c r="C384" s="222"/>
      <c r="D384" s="283">
        <f>D$381/(D379)</f>
        <v>2.7968984956646628</v>
      </c>
      <c r="F384" s="243"/>
      <c r="G384" s="234"/>
    </row>
    <row r="385" spans="1:7" ht="12.75">
      <c r="A385" s="206"/>
      <c r="B385" s="206"/>
      <c r="C385" s="207"/>
      <c r="D385" s="206"/>
      <c r="E385" s="282"/>
      <c r="F385" s="264"/>
      <c r="G385" s="208"/>
    </row>
    <row r="386" spans="1:7" ht="15.75">
      <c r="A386" s="284" t="s">
        <v>418</v>
      </c>
      <c r="B386" s="247"/>
      <c r="C386" s="222"/>
      <c r="D386" s="247"/>
      <c r="E386" s="232"/>
      <c r="F386" s="243"/>
      <c r="G386" s="234"/>
    </row>
    <row r="387" spans="1:7" ht="12.75">
      <c r="A387" s="234" t="s">
        <v>890</v>
      </c>
      <c r="B387" s="234"/>
      <c r="C387" s="222"/>
      <c r="D387" s="243">
        <f>(D379*E15*E16)</f>
        <v>135170</v>
      </c>
      <c r="F387" s="243"/>
      <c r="G387" s="234"/>
    </row>
    <row r="388" spans="1:7" ht="12.75">
      <c r="A388" s="234" t="s">
        <v>713</v>
      </c>
      <c r="B388" s="234"/>
      <c r="C388" s="222"/>
      <c r="D388" s="243">
        <f>D387-D381</f>
        <v>129769.18900487153</v>
      </c>
      <c r="F388" s="243"/>
      <c r="G388" s="234"/>
    </row>
    <row r="389" spans="1:7" ht="12.75">
      <c r="A389" s="206"/>
      <c r="B389" s="206"/>
      <c r="C389" s="207"/>
      <c r="D389" s="206"/>
      <c r="E389" s="282"/>
      <c r="F389" s="264"/>
      <c r="G389" s="208"/>
    </row>
    <row r="390" spans="1:6" ht="12.75">
      <c r="A390" s="285" t="s">
        <v>851</v>
      </c>
      <c r="C390" s="222"/>
      <c r="E390" s="232"/>
      <c r="F390" s="217"/>
    </row>
    <row r="423" ht="12.75">
      <c r="F423" s="252"/>
    </row>
  </sheetData>
  <sheetProtection password="C57E" sheet="1"/>
  <mergeCells count="30">
    <mergeCell ref="A142:G142"/>
    <mergeCell ref="A182:G182"/>
    <mergeCell ref="A19:G19"/>
    <mergeCell ref="A37:G37"/>
    <mergeCell ref="A92:G92"/>
    <mergeCell ref="A141:G141"/>
    <mergeCell ref="B48:C48"/>
    <mergeCell ref="B49:C49"/>
    <mergeCell ref="B50:C50"/>
    <mergeCell ref="B51:C51"/>
    <mergeCell ref="B52:C52"/>
    <mergeCell ref="B53:C53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129:C129"/>
    <mergeCell ref="B130:C130"/>
    <mergeCell ref="B131:C131"/>
  </mergeCells>
  <printOptions/>
  <pageMargins left="1" right="0.4" top="0.9" bottom="0.8333333333333334" header="0.5" footer="0.33333333333333337"/>
  <pageSetup horizontalDpi="300" verticalDpi="300" orientation="portrait" scale="95" r:id="rId3"/>
  <headerFooter alignWithMargins="0">
    <oddHeader>&amp;C&amp;"Arial,Bold"&amp;14Operating a Cooperative Boar Stud&amp;RPage &amp;P</oddHeader>
  </headerFooter>
  <rowBreaks count="8" manualBreakCount="8">
    <brk id="36" max="6" man="1"/>
    <brk id="91" max="6" man="1"/>
    <brk id="140" max="6" man="1"/>
    <brk id="181" max="6" man="1"/>
    <brk id="222" max="6" man="1"/>
    <brk id="268" max="6" man="1"/>
    <brk id="320" max="6" man="1"/>
    <brk id="371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239"/>
  <sheetViews>
    <sheetView showOutlineSymbols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5" max="5" width="9.421875" style="0" customWidth="1"/>
    <col min="6" max="6" width="11.421875" style="13" customWidth="1"/>
    <col min="7" max="7" width="13.7109375" style="13" customWidth="1"/>
    <col min="8" max="8" width="12.28125" style="13" customWidth="1"/>
    <col min="9" max="9" width="11.28125" style="13" customWidth="1"/>
    <col min="24" max="24" width="11.28125" style="0" customWidth="1"/>
  </cols>
  <sheetData>
    <row r="1" spans="3:15" ht="18">
      <c r="C1" s="31"/>
      <c r="F1"/>
      <c r="G1"/>
      <c r="H1"/>
      <c r="I1"/>
      <c r="J1" s="2"/>
      <c r="M1" s="13" t="s">
        <v>30</v>
      </c>
      <c r="N1" s="13"/>
      <c r="O1" s="13"/>
    </row>
    <row r="2" spans="1:15" ht="12.75">
      <c r="A2" s="23"/>
      <c r="B2" s="23"/>
      <c r="C2" s="23"/>
      <c r="D2" s="23"/>
      <c r="E2" s="23"/>
      <c r="F2" s="25"/>
      <c r="G2" s="25"/>
      <c r="H2" s="25"/>
      <c r="I2" s="25"/>
      <c r="J2" s="25"/>
      <c r="L2" s="13" t="s">
        <v>25</v>
      </c>
      <c r="M2" s="13" t="s">
        <v>914</v>
      </c>
      <c r="N2" s="13" t="s">
        <v>33</v>
      </c>
      <c r="O2" s="13" t="s">
        <v>35</v>
      </c>
    </row>
    <row r="3" spans="1:15" ht="12.75">
      <c r="A3" s="4" t="s">
        <v>893</v>
      </c>
      <c r="J3" s="13"/>
      <c r="L3" s="13" t="s">
        <v>24</v>
      </c>
      <c r="M3" s="13" t="s">
        <v>31</v>
      </c>
      <c r="N3" s="13" t="s">
        <v>34</v>
      </c>
      <c r="O3" s="13" t="s">
        <v>36</v>
      </c>
    </row>
    <row r="4" spans="1:15" ht="12.75">
      <c r="A4" s="4"/>
      <c r="J4" s="13"/>
      <c r="L4" s="13">
        <v>0</v>
      </c>
      <c r="M4" s="19">
        <f>E65</f>
        <v>100</v>
      </c>
      <c r="N4" s="13">
        <v>0</v>
      </c>
      <c r="O4" s="13">
        <v>0</v>
      </c>
    </row>
    <row r="5" spans="1:15" ht="12.75">
      <c r="A5" t="s">
        <v>898</v>
      </c>
      <c r="F5" s="19">
        <v>0</v>
      </c>
      <c r="G5" s="54" t="s">
        <v>21</v>
      </c>
      <c r="J5" s="13"/>
      <c r="L5" s="13">
        <f>E63</f>
        <v>1</v>
      </c>
      <c r="M5" s="19">
        <f>E65</f>
        <v>100</v>
      </c>
      <c r="N5" s="19">
        <f>E66</f>
        <v>1.6</v>
      </c>
      <c r="O5" s="19">
        <f>E67</f>
        <v>0.75</v>
      </c>
    </row>
    <row r="6" spans="1:15" ht="12.75">
      <c r="A6" t="s">
        <v>899</v>
      </c>
      <c r="F6" s="19">
        <v>0</v>
      </c>
      <c r="G6" s="54" t="s">
        <v>21</v>
      </c>
      <c r="J6" s="13"/>
      <c r="L6" s="13">
        <f>E64</f>
        <v>20</v>
      </c>
      <c r="M6" s="19">
        <f>E65</f>
        <v>100</v>
      </c>
      <c r="N6" s="19">
        <f>E66</f>
        <v>1.6</v>
      </c>
      <c r="O6" s="19">
        <f>E67</f>
        <v>0.75</v>
      </c>
    </row>
    <row r="7" spans="1:15" ht="12.75">
      <c r="A7" t="s">
        <v>767</v>
      </c>
      <c r="F7" s="174">
        <f>INT(PRODUCTION!B68)+1</f>
        <v>2</v>
      </c>
      <c r="G7" s="127"/>
      <c r="H7" s="117"/>
      <c r="I7" s="117"/>
      <c r="J7" s="117"/>
      <c r="L7" s="13">
        <f>F63</f>
        <v>21</v>
      </c>
      <c r="M7" s="19">
        <f>F65</f>
        <v>100</v>
      </c>
      <c r="N7" s="19">
        <f>F66</f>
        <v>1.6</v>
      </c>
      <c r="O7" s="19">
        <f>F67</f>
        <v>0.75</v>
      </c>
    </row>
    <row r="8" spans="1:15" ht="12.75">
      <c r="A8" t="s">
        <v>366</v>
      </c>
      <c r="F8" s="152">
        <f>(OnFarmStud!E265)</f>
        <v>1500</v>
      </c>
      <c r="G8" s="117"/>
      <c r="H8" s="117"/>
      <c r="I8" s="117"/>
      <c r="J8" s="117"/>
      <c r="L8" s="13">
        <f>F64</f>
        <v>40</v>
      </c>
      <c r="M8" s="19">
        <f>F65</f>
        <v>100</v>
      </c>
      <c r="N8" s="19">
        <f>F66</f>
        <v>1.6</v>
      </c>
      <c r="O8" s="19">
        <f>F67</f>
        <v>0.75</v>
      </c>
    </row>
    <row r="9" spans="1:15" ht="12.75">
      <c r="A9" t="s">
        <v>839</v>
      </c>
      <c r="F9" s="153">
        <f>(E21/30)+F10</f>
        <v>18</v>
      </c>
      <c r="G9" s="117"/>
      <c r="H9" s="117"/>
      <c r="I9" s="117"/>
      <c r="J9" s="117"/>
      <c r="L9" s="13">
        <f>G63</f>
        <v>41</v>
      </c>
      <c r="M9" s="19">
        <f>G65</f>
        <v>100</v>
      </c>
      <c r="N9" s="19">
        <f>G66</f>
        <v>1.6</v>
      </c>
      <c r="O9" s="19">
        <f>G67</f>
        <v>0.75</v>
      </c>
    </row>
    <row r="10" spans="1:15" ht="12.75">
      <c r="A10" t="s">
        <v>900</v>
      </c>
      <c r="F10" s="293">
        <f>(OnFarmStud!E264)</f>
        <v>16</v>
      </c>
      <c r="G10" s="117"/>
      <c r="H10" s="117"/>
      <c r="I10" s="117"/>
      <c r="J10" s="117"/>
      <c r="L10" s="13">
        <f>G64</f>
        <v>60</v>
      </c>
      <c r="M10" s="19">
        <f>G65</f>
        <v>100</v>
      </c>
      <c r="N10" s="19">
        <f>G66</f>
        <v>1.6</v>
      </c>
      <c r="O10" s="19">
        <f>G67</f>
        <v>0.75</v>
      </c>
    </row>
    <row r="11" spans="1:15" ht="12.75">
      <c r="A11" t="s">
        <v>901</v>
      </c>
      <c r="F11" s="152">
        <f>(OnFarmStud!E266)</f>
        <v>100</v>
      </c>
      <c r="G11" s="117"/>
      <c r="H11" s="117"/>
      <c r="I11" s="117"/>
      <c r="J11" s="117"/>
      <c r="L11" s="13">
        <f>H63</f>
        <v>61</v>
      </c>
      <c r="M11" s="19">
        <f>H65</f>
        <v>100</v>
      </c>
      <c r="N11" s="19">
        <f>H66</f>
        <v>1.6</v>
      </c>
      <c r="O11" s="19">
        <f>H67</f>
        <v>0.75</v>
      </c>
    </row>
    <row r="12" spans="1:15" ht="12.75">
      <c r="A12" t="s">
        <v>902</v>
      </c>
      <c r="F12" s="139">
        <v>100</v>
      </c>
      <c r="G12" s="117"/>
      <c r="H12" s="117"/>
      <c r="I12" s="117"/>
      <c r="J12" s="117"/>
      <c r="L12" s="13">
        <f>H64</f>
        <v>80</v>
      </c>
      <c r="M12" s="19">
        <f>H65</f>
        <v>100</v>
      </c>
      <c r="N12" s="19">
        <f>H66</f>
        <v>1.6</v>
      </c>
      <c r="O12" s="19">
        <f>H67</f>
        <v>0.75</v>
      </c>
    </row>
    <row r="13" spans="1:15" ht="12.75">
      <c r="A13" t="s">
        <v>903</v>
      </c>
      <c r="F13" s="151">
        <f>(PRODUCTION!B38)</f>
        <v>2</v>
      </c>
      <c r="G13" s="117"/>
      <c r="H13" s="117"/>
      <c r="I13" s="117"/>
      <c r="J13" s="117"/>
      <c r="L13" s="13">
        <f>I63</f>
        <v>81</v>
      </c>
      <c r="M13" s="19">
        <f>I65</f>
        <v>100</v>
      </c>
      <c r="N13" s="19">
        <f>I66</f>
        <v>1.6</v>
      </c>
      <c r="O13" s="19">
        <f>I67</f>
        <v>0.75</v>
      </c>
    </row>
    <row r="14" spans="1:15" ht="12.75">
      <c r="A14" t="s">
        <v>904</v>
      </c>
      <c r="F14" s="149">
        <v>0.05</v>
      </c>
      <c r="G14" s="117"/>
      <c r="H14" s="117"/>
      <c r="I14" s="117"/>
      <c r="J14" s="117"/>
      <c r="L14" s="13">
        <f>I64</f>
        <v>100</v>
      </c>
      <c r="M14" s="19">
        <f>I65</f>
        <v>100</v>
      </c>
      <c r="N14" s="19">
        <f>I66</f>
        <v>1.6</v>
      </c>
      <c r="O14" s="19">
        <f>I67</f>
        <v>0.75</v>
      </c>
    </row>
    <row r="15" spans="1:15" ht="12.75">
      <c r="A15" t="s">
        <v>905</v>
      </c>
      <c r="F15" s="150">
        <v>0.6</v>
      </c>
      <c r="G15" s="117"/>
      <c r="H15" s="117"/>
      <c r="I15" s="117"/>
      <c r="J15" s="117"/>
      <c r="L15" s="13">
        <f>J63</f>
        <v>101</v>
      </c>
      <c r="M15" s="19">
        <f>J65</f>
        <v>0</v>
      </c>
      <c r="N15" s="19">
        <f>J66</f>
        <v>1.6</v>
      </c>
      <c r="O15" s="19">
        <f>J67</f>
        <v>0.75</v>
      </c>
    </row>
    <row r="16" spans="1:15" ht="12.75">
      <c r="A16" t="s">
        <v>906</v>
      </c>
      <c r="F16" s="150">
        <v>0.4</v>
      </c>
      <c r="G16" s="117"/>
      <c r="H16" s="117"/>
      <c r="I16" s="117"/>
      <c r="J16" s="117"/>
      <c r="L16" s="13">
        <f>J64</f>
        <v>200</v>
      </c>
      <c r="M16" s="19">
        <f>J65</f>
        <v>0</v>
      </c>
      <c r="N16" s="19">
        <f>J66</f>
        <v>1.6</v>
      </c>
      <c r="O16" s="19">
        <f>J67</f>
        <v>0.75</v>
      </c>
    </row>
    <row r="17" spans="1:15" ht="12.75">
      <c r="A17" t="s">
        <v>907</v>
      </c>
      <c r="F17" s="150">
        <v>0</v>
      </c>
      <c r="G17" s="117"/>
      <c r="H17" s="117"/>
      <c r="I17" s="117"/>
      <c r="J17" s="117"/>
      <c r="L17" s="14"/>
      <c r="M17" s="14"/>
      <c r="N17" s="14"/>
      <c r="O17" s="14"/>
    </row>
    <row r="18" spans="6:15" ht="12.75">
      <c r="F18" s="117"/>
      <c r="G18" s="117"/>
      <c r="H18" s="128"/>
      <c r="I18" s="117"/>
      <c r="J18" s="117"/>
      <c r="L18" s="14"/>
      <c r="M18" s="14"/>
      <c r="N18" s="14"/>
      <c r="O18" s="14"/>
    </row>
    <row r="19" spans="1:15" ht="12.75">
      <c r="A19" s="4" t="s">
        <v>908</v>
      </c>
      <c r="F19" s="118"/>
      <c r="G19" s="117"/>
      <c r="H19" s="117"/>
      <c r="I19" s="117"/>
      <c r="J19" s="117"/>
      <c r="L19" s="13"/>
      <c r="M19" s="13"/>
      <c r="N19" s="13"/>
      <c r="O19" s="13"/>
    </row>
    <row r="20" spans="1:19" ht="12.75">
      <c r="A20" t="s">
        <v>909</v>
      </c>
      <c r="E20" s="192">
        <v>1</v>
      </c>
      <c r="F20" s="192">
        <v>2</v>
      </c>
      <c r="G20" s="192">
        <v>3</v>
      </c>
      <c r="H20" s="192">
        <v>4</v>
      </c>
      <c r="I20" s="192">
        <v>5</v>
      </c>
      <c r="J20" s="192">
        <v>6</v>
      </c>
      <c r="L20" s="13" t="s">
        <v>26</v>
      </c>
      <c r="Q20" t="s">
        <v>363</v>
      </c>
      <c r="S20" s="13"/>
    </row>
    <row r="21" spans="1:19" ht="12.75">
      <c r="A21" t="s">
        <v>508</v>
      </c>
      <c r="E21" s="66">
        <v>60</v>
      </c>
      <c r="F21" s="66">
        <v>60</v>
      </c>
      <c r="G21" s="66">
        <v>60</v>
      </c>
      <c r="H21" s="66">
        <v>60</v>
      </c>
      <c r="I21" s="66">
        <v>60</v>
      </c>
      <c r="J21" s="66">
        <v>60</v>
      </c>
      <c r="L21" t="s">
        <v>27</v>
      </c>
      <c r="M21" s="13" t="s">
        <v>32</v>
      </c>
      <c r="Q21" t="s">
        <v>27</v>
      </c>
      <c r="S21" s="13"/>
    </row>
    <row r="22" spans="1:19" ht="12.75">
      <c r="A22" t="s">
        <v>910</v>
      </c>
      <c r="E22" s="66">
        <v>0.08</v>
      </c>
      <c r="F22" s="66">
        <v>0.08</v>
      </c>
      <c r="G22" s="66">
        <v>0.08</v>
      </c>
      <c r="H22" s="66">
        <v>0.08</v>
      </c>
      <c r="I22" s="66">
        <v>0.08</v>
      </c>
      <c r="J22" s="66">
        <v>0.08</v>
      </c>
      <c r="L22" s="13">
        <f>E20</f>
        <v>1</v>
      </c>
      <c r="M22" s="159">
        <f>E78</f>
        <v>0</v>
      </c>
      <c r="Q22" s="13">
        <v>1</v>
      </c>
      <c r="R22" s="191">
        <f>IF(M37&gt;0,1,0)+IF(N37&gt;0,1,0)+IF(O37&gt;0,1,0)+IF(P37&gt;0,1,0)</f>
        <v>1</v>
      </c>
      <c r="S22" s="13"/>
    </row>
    <row r="23" spans="1:19" ht="12.75">
      <c r="A23" t="s">
        <v>911</v>
      </c>
      <c r="E23" s="66">
        <v>0.33</v>
      </c>
      <c r="F23" s="66">
        <v>0.33</v>
      </c>
      <c r="G23" s="66">
        <v>0.33</v>
      </c>
      <c r="H23" s="66">
        <v>0.33</v>
      </c>
      <c r="I23" s="66">
        <v>0.33</v>
      </c>
      <c r="J23" s="66">
        <v>0.33</v>
      </c>
      <c r="L23" s="13">
        <f>F20</f>
        <v>2</v>
      </c>
      <c r="M23" s="159">
        <f>F78</f>
        <v>465</v>
      </c>
      <c r="Q23" s="13">
        <v>2</v>
      </c>
      <c r="R23" s="191">
        <f aca="true" t="shared" si="0" ref="R23:R33">IF(M38&gt;0,1,0)+IF(N38&gt;0,1,0)+IF(O38&gt;0,1,0)+IF(P38&gt;0,1,0)</f>
        <v>1</v>
      </c>
      <c r="S23" s="13"/>
    </row>
    <row r="24" spans="1:19" ht="12.75">
      <c r="A24" t="s">
        <v>912</v>
      </c>
      <c r="E24" s="74">
        <v>5</v>
      </c>
      <c r="F24" s="74">
        <v>5</v>
      </c>
      <c r="G24" s="74">
        <v>5</v>
      </c>
      <c r="H24" s="74">
        <v>5</v>
      </c>
      <c r="I24" s="74">
        <v>5</v>
      </c>
      <c r="J24" s="74">
        <v>5</v>
      </c>
      <c r="L24" s="13">
        <f>G20</f>
        <v>3</v>
      </c>
      <c r="M24" s="159">
        <f>G78</f>
        <v>0</v>
      </c>
      <c r="Q24" s="13">
        <v>3</v>
      </c>
      <c r="R24" s="191">
        <f t="shared" si="0"/>
        <v>0</v>
      </c>
      <c r="S24" s="13"/>
    </row>
    <row r="25" spans="1:19" ht="12.75">
      <c r="A25" t="s">
        <v>511</v>
      </c>
      <c r="E25" s="77">
        <v>10</v>
      </c>
      <c r="F25" s="77">
        <v>10</v>
      </c>
      <c r="G25" s="77">
        <v>10</v>
      </c>
      <c r="H25" s="77">
        <v>10</v>
      </c>
      <c r="I25" s="77">
        <v>10</v>
      </c>
      <c r="J25" s="77">
        <v>10</v>
      </c>
      <c r="L25" s="13">
        <f>H20</f>
        <v>4</v>
      </c>
      <c r="M25" s="159">
        <f>H78</f>
        <v>0</v>
      </c>
      <c r="Q25" s="13">
        <v>4</v>
      </c>
      <c r="R25" s="191">
        <f t="shared" si="0"/>
        <v>0</v>
      </c>
      <c r="S25" s="13"/>
    </row>
    <row r="26" spans="1:19" ht="12.75">
      <c r="A26" t="s">
        <v>512</v>
      </c>
      <c r="E26" s="77">
        <v>0.05</v>
      </c>
      <c r="F26" s="77">
        <v>0.05</v>
      </c>
      <c r="G26" s="77">
        <v>0.05</v>
      </c>
      <c r="H26" s="77">
        <v>0.05</v>
      </c>
      <c r="I26" s="77">
        <v>0.05</v>
      </c>
      <c r="J26" s="77">
        <v>0.05</v>
      </c>
      <c r="L26" s="13">
        <f>I20</f>
        <v>5</v>
      </c>
      <c r="M26" s="159">
        <f>I78</f>
        <v>0</v>
      </c>
      <c r="Q26" s="13">
        <v>5</v>
      </c>
      <c r="R26" s="191">
        <f t="shared" si="0"/>
        <v>0</v>
      </c>
      <c r="S26" s="13"/>
    </row>
    <row r="27" spans="1:19" ht="12.75">
      <c r="A27" t="s">
        <v>513</v>
      </c>
      <c r="E27" s="66">
        <v>6</v>
      </c>
      <c r="F27" s="66">
        <v>6</v>
      </c>
      <c r="G27" s="66">
        <v>6</v>
      </c>
      <c r="H27" s="66">
        <v>6</v>
      </c>
      <c r="I27" s="66">
        <v>6</v>
      </c>
      <c r="J27" s="66">
        <v>6</v>
      </c>
      <c r="L27" s="13">
        <f>J20</f>
        <v>6</v>
      </c>
      <c r="M27" s="159">
        <f>J78</f>
        <v>0</v>
      </c>
      <c r="Q27" s="13">
        <v>6</v>
      </c>
      <c r="R27" s="191">
        <f t="shared" si="0"/>
        <v>0</v>
      </c>
      <c r="S27" s="13"/>
    </row>
    <row r="28" spans="1:19" ht="12.75">
      <c r="A28" t="s">
        <v>514</v>
      </c>
      <c r="E28" s="77">
        <v>0.5</v>
      </c>
      <c r="F28" s="77">
        <v>0.5</v>
      </c>
      <c r="G28" s="77">
        <v>0.5</v>
      </c>
      <c r="H28" s="77">
        <v>0.5</v>
      </c>
      <c r="I28" s="77">
        <v>0.5</v>
      </c>
      <c r="J28" s="77">
        <v>0.5</v>
      </c>
      <c r="L28" s="13">
        <f>E31</f>
        <v>7</v>
      </c>
      <c r="M28" s="159">
        <f>E87</f>
        <v>0</v>
      </c>
      <c r="Q28" s="13">
        <v>7</v>
      </c>
      <c r="R28" s="191">
        <f t="shared" si="0"/>
        <v>0</v>
      </c>
      <c r="S28" s="13"/>
    </row>
    <row r="29" spans="1:19" ht="12.75">
      <c r="A29" t="s">
        <v>515</v>
      </c>
      <c r="E29" s="81">
        <v>120</v>
      </c>
      <c r="F29" s="81">
        <v>120</v>
      </c>
      <c r="G29" s="81">
        <v>110</v>
      </c>
      <c r="H29" s="81">
        <v>110</v>
      </c>
      <c r="I29" s="81">
        <v>110</v>
      </c>
      <c r="J29" s="81">
        <v>110</v>
      </c>
      <c r="L29" s="13">
        <f>F31</f>
        <v>8</v>
      </c>
      <c r="M29" s="159">
        <f>F87</f>
        <v>0</v>
      </c>
      <c r="Q29" s="13">
        <v>8</v>
      </c>
      <c r="R29" s="191">
        <f t="shared" si="0"/>
        <v>0</v>
      </c>
      <c r="S29" s="13"/>
    </row>
    <row r="30" spans="5:19" ht="12.75">
      <c r="E30" s="116"/>
      <c r="F30" s="117"/>
      <c r="G30" s="117"/>
      <c r="H30" s="117"/>
      <c r="I30" s="117"/>
      <c r="J30" s="117"/>
      <c r="L30" s="13">
        <f>G31</f>
        <v>9</v>
      </c>
      <c r="M30" s="159">
        <f>G87</f>
        <v>0</v>
      </c>
      <c r="Q30" s="13">
        <v>9</v>
      </c>
      <c r="R30" s="191">
        <f t="shared" si="0"/>
        <v>0</v>
      </c>
      <c r="S30" s="13"/>
    </row>
    <row r="31" spans="1:19" ht="12.75">
      <c r="A31" t="s">
        <v>909</v>
      </c>
      <c r="E31" s="192">
        <v>7</v>
      </c>
      <c r="F31" s="192">
        <v>8</v>
      </c>
      <c r="G31" s="192">
        <v>9</v>
      </c>
      <c r="H31" s="192">
        <v>10</v>
      </c>
      <c r="I31" s="192">
        <v>11</v>
      </c>
      <c r="J31" s="192">
        <v>12</v>
      </c>
      <c r="L31" s="13">
        <f>H31</f>
        <v>10</v>
      </c>
      <c r="M31" s="159">
        <f>H87</f>
        <v>0</v>
      </c>
      <c r="Q31" s="13">
        <v>10</v>
      </c>
      <c r="R31" s="191">
        <f t="shared" si="0"/>
        <v>0</v>
      </c>
      <c r="S31" s="13"/>
    </row>
    <row r="32" spans="1:18" ht="12.75">
      <c r="A32" t="s">
        <v>508</v>
      </c>
      <c r="E32" s="66">
        <v>60</v>
      </c>
      <c r="F32" s="66">
        <v>60</v>
      </c>
      <c r="G32" s="66">
        <v>60</v>
      </c>
      <c r="H32" s="66">
        <v>60</v>
      </c>
      <c r="I32" s="66">
        <v>60</v>
      </c>
      <c r="J32" s="66">
        <v>60</v>
      </c>
      <c r="L32" s="13">
        <f>I31</f>
        <v>11</v>
      </c>
      <c r="M32" s="159">
        <f>I87</f>
        <v>0</v>
      </c>
      <c r="Q32" s="13">
        <v>11</v>
      </c>
      <c r="R32" s="191">
        <f t="shared" si="0"/>
        <v>0</v>
      </c>
    </row>
    <row r="33" spans="1:21" ht="12.75">
      <c r="A33" t="s">
        <v>509</v>
      </c>
      <c r="E33" s="66">
        <v>0.08</v>
      </c>
      <c r="F33" s="66">
        <v>0.08</v>
      </c>
      <c r="G33" s="66">
        <v>0.08</v>
      </c>
      <c r="H33" s="66">
        <v>0.08</v>
      </c>
      <c r="I33" s="66">
        <v>0.08</v>
      </c>
      <c r="J33" s="66">
        <v>0.08</v>
      </c>
      <c r="L33" s="13">
        <f>J31</f>
        <v>12</v>
      </c>
      <c r="M33" s="159">
        <f>J87</f>
        <v>0</v>
      </c>
      <c r="Q33" s="13">
        <v>12</v>
      </c>
      <c r="R33" s="191">
        <f t="shared" si="0"/>
        <v>0</v>
      </c>
      <c r="S33" s="13"/>
      <c r="U33" s="13" t="s">
        <v>37</v>
      </c>
    </row>
    <row r="34" spans="1:24" ht="12.75">
      <c r="A34" t="s">
        <v>911</v>
      </c>
      <c r="E34" s="66">
        <v>0.33</v>
      </c>
      <c r="F34" s="66">
        <v>0.33</v>
      </c>
      <c r="G34" s="66">
        <v>0.33</v>
      </c>
      <c r="H34" s="66">
        <v>0.33</v>
      </c>
      <c r="I34" s="66">
        <v>0.33</v>
      </c>
      <c r="J34" s="66">
        <v>0.33</v>
      </c>
      <c r="L34" s="13"/>
      <c r="M34" s="13"/>
      <c r="N34" s="13"/>
      <c r="O34" s="13"/>
      <c r="R34" s="13"/>
      <c r="S34" s="13" t="s">
        <v>24</v>
      </c>
      <c r="T34" s="13" t="s">
        <v>41</v>
      </c>
      <c r="U34" s="13" t="s">
        <v>44</v>
      </c>
      <c r="V34" s="13" t="s">
        <v>45</v>
      </c>
      <c r="W34" s="13" t="s">
        <v>45</v>
      </c>
      <c r="X34" t="s">
        <v>45</v>
      </c>
    </row>
    <row r="35" spans="1:24" ht="12.75">
      <c r="A35" t="s">
        <v>912</v>
      </c>
      <c r="E35" s="74">
        <v>5</v>
      </c>
      <c r="F35" s="74">
        <v>5</v>
      </c>
      <c r="G35" s="74">
        <v>5</v>
      </c>
      <c r="H35" s="74">
        <v>5</v>
      </c>
      <c r="I35" s="74">
        <v>5</v>
      </c>
      <c r="J35" s="74">
        <v>5</v>
      </c>
      <c r="L35" s="14" t="s">
        <v>28</v>
      </c>
      <c r="M35" s="13"/>
      <c r="N35" s="13"/>
      <c r="Q35" s="13" t="s">
        <v>37</v>
      </c>
      <c r="R35" s="41" t="s">
        <v>37</v>
      </c>
      <c r="S35" s="41" t="s">
        <v>39</v>
      </c>
      <c r="T35" s="13" t="s">
        <v>42</v>
      </c>
      <c r="U35" s="13" t="s">
        <v>42</v>
      </c>
      <c r="V35" s="13" t="s">
        <v>39</v>
      </c>
      <c r="W35" s="13" t="s">
        <v>39</v>
      </c>
      <c r="X35" t="s">
        <v>37</v>
      </c>
    </row>
    <row r="36" spans="1:24" ht="12.75">
      <c r="A36" t="s">
        <v>511</v>
      </c>
      <c r="E36" s="77">
        <v>10</v>
      </c>
      <c r="F36" s="77">
        <v>10</v>
      </c>
      <c r="G36" s="77">
        <v>10</v>
      </c>
      <c r="H36" s="77">
        <v>10</v>
      </c>
      <c r="I36" s="77">
        <v>10</v>
      </c>
      <c r="J36" s="77">
        <v>10</v>
      </c>
      <c r="L36" s="13" t="s">
        <v>29</v>
      </c>
      <c r="M36" s="13" t="s">
        <v>490</v>
      </c>
      <c r="N36" s="13" t="s">
        <v>491</v>
      </c>
      <c r="O36" s="13" t="s">
        <v>492</v>
      </c>
      <c r="P36" s="13" t="s">
        <v>493</v>
      </c>
      <c r="Q36" s="13" t="s">
        <v>361</v>
      </c>
      <c r="R36" s="41" t="s">
        <v>38</v>
      </c>
      <c r="S36" s="41" t="s">
        <v>40</v>
      </c>
      <c r="T36" s="13" t="s">
        <v>43</v>
      </c>
      <c r="U36" s="13" t="s">
        <v>43</v>
      </c>
      <c r="V36" s="13" t="s">
        <v>34</v>
      </c>
      <c r="W36" s="13" t="s">
        <v>46</v>
      </c>
      <c r="X36" t="s">
        <v>43</v>
      </c>
    </row>
    <row r="37" spans="1:24" ht="12.75">
      <c r="A37" t="s">
        <v>512</v>
      </c>
      <c r="E37" s="77">
        <v>0.05</v>
      </c>
      <c r="F37" s="77">
        <v>0.05</v>
      </c>
      <c r="G37" s="77">
        <v>0.05</v>
      </c>
      <c r="H37" s="77">
        <v>0.05</v>
      </c>
      <c r="I37" s="77">
        <v>0.05</v>
      </c>
      <c r="J37" s="77">
        <v>0.05</v>
      </c>
      <c r="L37" s="13">
        <f>B46</f>
        <v>1</v>
      </c>
      <c r="M37" s="13">
        <f>B47</f>
        <v>25</v>
      </c>
      <c r="N37" s="13">
        <f>B48</f>
        <v>0</v>
      </c>
      <c r="O37" s="13">
        <f>B49</f>
        <v>0</v>
      </c>
      <c r="P37" s="13">
        <f>B50</f>
        <v>0</v>
      </c>
      <c r="Q37" s="13">
        <f>SUM(M37:P37)</f>
        <v>25</v>
      </c>
      <c r="R37" s="191">
        <f>Q37/R22</f>
        <v>25</v>
      </c>
      <c r="S37" s="41">
        <f>B51</f>
        <v>25</v>
      </c>
      <c r="T37" s="13">
        <f aca="true" t="shared" si="1" ref="T37:T48">VLOOKUP(S37,$L$5:$M$16,(1+1))</f>
        <v>100</v>
      </c>
      <c r="U37" s="13">
        <f>T37</f>
        <v>100</v>
      </c>
      <c r="V37" s="19">
        <f aca="true" t="shared" si="2" ref="V37:V48">VLOOKUP(S37,L$5:N$16,(2+1))</f>
        <v>1.6</v>
      </c>
      <c r="W37" s="13">
        <f aca="true" t="shared" si="3" ref="W37:W48">(S37*V37)</f>
        <v>40</v>
      </c>
      <c r="X37" s="19">
        <f>W37</f>
        <v>40</v>
      </c>
    </row>
    <row r="38" spans="1:24" ht="12.75">
      <c r="A38" t="s">
        <v>513</v>
      </c>
      <c r="E38" s="66">
        <v>6</v>
      </c>
      <c r="F38" s="66">
        <v>6</v>
      </c>
      <c r="G38" s="66">
        <v>6</v>
      </c>
      <c r="H38" s="66">
        <v>6</v>
      </c>
      <c r="I38" s="66">
        <v>6</v>
      </c>
      <c r="J38" s="66">
        <v>6</v>
      </c>
      <c r="L38" s="13">
        <f>C46</f>
        <v>2</v>
      </c>
      <c r="M38" s="13">
        <f>C47</f>
        <v>25</v>
      </c>
      <c r="N38" s="13">
        <f>C48</f>
        <v>0</v>
      </c>
      <c r="O38" s="13">
        <f>C49</f>
        <v>0</v>
      </c>
      <c r="P38" s="13">
        <f>C50</f>
        <v>0</v>
      </c>
      <c r="Q38" s="13">
        <f>SUM(M38:P38)+Q37</f>
        <v>50</v>
      </c>
      <c r="R38" s="191">
        <f>Q38/SUM(R22:R23)</f>
        <v>25</v>
      </c>
      <c r="S38" s="41">
        <f>C51</f>
        <v>25</v>
      </c>
      <c r="T38" s="13">
        <f t="shared" si="1"/>
        <v>100</v>
      </c>
      <c r="U38" s="13">
        <f aca="true" t="shared" si="4" ref="U38:U48">U37+T38</f>
        <v>200</v>
      </c>
      <c r="V38" s="19">
        <f t="shared" si="2"/>
        <v>1.6</v>
      </c>
      <c r="W38" s="13">
        <f t="shared" si="3"/>
        <v>40</v>
      </c>
      <c r="X38" s="19">
        <f aca="true" t="shared" si="5" ref="X38:X48">X37+W38</f>
        <v>80</v>
      </c>
    </row>
    <row r="39" spans="1:24" ht="12.75">
      <c r="A39" t="s">
        <v>514</v>
      </c>
      <c r="E39" s="77">
        <v>0.5</v>
      </c>
      <c r="F39" s="77">
        <v>0.5</v>
      </c>
      <c r="G39" s="77">
        <v>0.5</v>
      </c>
      <c r="H39" s="77">
        <v>0.5</v>
      </c>
      <c r="I39" s="77">
        <v>0.5</v>
      </c>
      <c r="J39" s="77">
        <v>0.5</v>
      </c>
      <c r="L39" s="13">
        <f>D46</f>
        <v>3</v>
      </c>
      <c r="M39" s="13">
        <f>D47</f>
        <v>0</v>
      </c>
      <c r="N39" s="13">
        <f>D48</f>
        <v>0</v>
      </c>
      <c r="O39" s="13">
        <f>D49</f>
        <v>0</v>
      </c>
      <c r="P39" s="13">
        <f>D50</f>
        <v>0</v>
      </c>
      <c r="Q39" s="191">
        <f>IF(M39+N39+O39+P39&lt;1,0,M39+N39+O39+P39+Q38)</f>
        <v>0</v>
      </c>
      <c r="R39" s="191">
        <f>Q39/SUM(R22:R24)</f>
        <v>0</v>
      </c>
      <c r="S39" s="41">
        <f>D51</f>
        <v>0</v>
      </c>
      <c r="T39" s="13" t="e">
        <f t="shared" si="1"/>
        <v>#N/A</v>
      </c>
      <c r="U39" s="13" t="e">
        <f t="shared" si="4"/>
        <v>#N/A</v>
      </c>
      <c r="V39" s="19" t="e">
        <f t="shared" si="2"/>
        <v>#N/A</v>
      </c>
      <c r="W39" s="13" t="e">
        <f t="shared" si="3"/>
        <v>#N/A</v>
      </c>
      <c r="X39" s="20" t="e">
        <f t="shared" si="5"/>
        <v>#N/A</v>
      </c>
    </row>
    <row r="40" spans="1:24" ht="12.75">
      <c r="A40" t="s">
        <v>515</v>
      </c>
      <c r="E40" s="81">
        <v>110</v>
      </c>
      <c r="F40" s="81">
        <v>110</v>
      </c>
      <c r="G40" s="81">
        <v>110</v>
      </c>
      <c r="H40" s="81">
        <v>110</v>
      </c>
      <c r="I40" s="81">
        <v>110</v>
      </c>
      <c r="J40" s="81">
        <v>110</v>
      </c>
      <c r="L40" s="13">
        <f>E46</f>
        <v>4</v>
      </c>
      <c r="M40" s="13">
        <f>E47</f>
        <v>0</v>
      </c>
      <c r="N40" s="13">
        <f>E48</f>
        <v>0</v>
      </c>
      <c r="O40" s="13">
        <f>E49</f>
        <v>0</v>
      </c>
      <c r="P40" s="13">
        <f>E50</f>
        <v>0</v>
      </c>
      <c r="Q40" s="191">
        <f aca="true" t="shared" si="6" ref="Q40:Q48">IF(M40+N40+O40+P40&lt;1,0,M40+N40+O40+P40+Q39)</f>
        <v>0</v>
      </c>
      <c r="R40" s="191">
        <f>Q40/SUM(R22:R25)</f>
        <v>0</v>
      </c>
      <c r="S40" s="41">
        <f>E51</f>
        <v>0</v>
      </c>
      <c r="T40" s="13" t="e">
        <f t="shared" si="1"/>
        <v>#N/A</v>
      </c>
      <c r="U40" s="13" t="e">
        <f t="shared" si="4"/>
        <v>#N/A</v>
      </c>
      <c r="V40" s="19" t="e">
        <f t="shared" si="2"/>
        <v>#N/A</v>
      </c>
      <c r="W40" s="13" t="e">
        <f t="shared" si="3"/>
        <v>#N/A</v>
      </c>
      <c r="X40" s="20" t="e">
        <f t="shared" si="5"/>
        <v>#N/A</v>
      </c>
    </row>
    <row r="41" spans="1:24" ht="12.75">
      <c r="A41" s="23"/>
      <c r="B41" s="23"/>
      <c r="C41" s="23"/>
      <c r="D41" s="23"/>
      <c r="E41" s="23"/>
      <c r="F41" s="25"/>
      <c r="G41" s="25"/>
      <c r="H41" s="25"/>
      <c r="I41" s="25"/>
      <c r="J41" s="25"/>
      <c r="L41" s="13">
        <f>F46</f>
        <v>5</v>
      </c>
      <c r="M41" s="13">
        <f>F47</f>
        <v>0</v>
      </c>
      <c r="N41" s="13">
        <f>F48</f>
        <v>0</v>
      </c>
      <c r="O41" s="13">
        <f>F49</f>
        <v>0</v>
      </c>
      <c r="P41" s="13">
        <f>F50</f>
        <v>0</v>
      </c>
      <c r="Q41" s="191">
        <f t="shared" si="6"/>
        <v>0</v>
      </c>
      <c r="R41" s="191">
        <f>Q41/SUM(R22:R26)</f>
        <v>0</v>
      </c>
      <c r="S41" s="41">
        <f>F51</f>
        <v>0</v>
      </c>
      <c r="T41" s="13" t="e">
        <f t="shared" si="1"/>
        <v>#N/A</v>
      </c>
      <c r="U41" s="13" t="e">
        <f t="shared" si="4"/>
        <v>#N/A</v>
      </c>
      <c r="V41" s="19" t="e">
        <f t="shared" si="2"/>
        <v>#N/A</v>
      </c>
      <c r="W41" s="13" t="e">
        <f t="shared" si="3"/>
        <v>#N/A</v>
      </c>
      <c r="X41" s="20" t="e">
        <f t="shared" si="5"/>
        <v>#N/A</v>
      </c>
    </row>
    <row r="42" spans="1:24" ht="18">
      <c r="A42" s="31" t="s">
        <v>893</v>
      </c>
      <c r="J42" s="2"/>
      <c r="L42" s="13">
        <f>G46</f>
        <v>6</v>
      </c>
      <c r="M42" s="13">
        <f>G47</f>
        <v>0</v>
      </c>
      <c r="N42" s="13">
        <f>G48</f>
        <v>0</v>
      </c>
      <c r="O42" s="13">
        <f>G49</f>
        <v>0</v>
      </c>
      <c r="P42" s="13">
        <f>G50</f>
        <v>0</v>
      </c>
      <c r="Q42" s="191">
        <f t="shared" si="6"/>
        <v>0</v>
      </c>
      <c r="R42" s="191">
        <f>Q42/SUM(R22:R27)</f>
        <v>0</v>
      </c>
      <c r="S42" s="41">
        <f>G51</f>
        <v>0</v>
      </c>
      <c r="T42" s="13" t="e">
        <f t="shared" si="1"/>
        <v>#N/A</v>
      </c>
      <c r="U42" s="13" t="e">
        <f t="shared" si="4"/>
        <v>#N/A</v>
      </c>
      <c r="V42" s="19" t="e">
        <f t="shared" si="2"/>
        <v>#N/A</v>
      </c>
      <c r="W42" s="13" t="e">
        <f t="shared" si="3"/>
        <v>#N/A</v>
      </c>
      <c r="X42" s="20" t="e">
        <f t="shared" si="5"/>
        <v>#N/A</v>
      </c>
    </row>
    <row r="43" spans="1:24" ht="12.75">
      <c r="A43" s="148"/>
      <c r="B43" s="148"/>
      <c r="C43" s="148"/>
      <c r="D43" s="148"/>
      <c r="E43" s="148"/>
      <c r="F43" s="129"/>
      <c r="G43" s="129"/>
      <c r="H43" s="129"/>
      <c r="I43" s="129"/>
      <c r="J43" s="129"/>
      <c r="L43" s="13">
        <f>B53</f>
        <v>7</v>
      </c>
      <c r="M43" s="13">
        <f>B54</f>
        <v>0</v>
      </c>
      <c r="N43" s="13">
        <f>B55</f>
        <v>0</v>
      </c>
      <c r="O43" s="13">
        <f>B56</f>
        <v>0</v>
      </c>
      <c r="P43" s="13">
        <f>B57</f>
        <v>0</v>
      </c>
      <c r="Q43" s="191">
        <f t="shared" si="6"/>
        <v>0</v>
      </c>
      <c r="R43" s="191">
        <f>Q43/SUM(R22:R28)</f>
        <v>0</v>
      </c>
      <c r="S43" s="41">
        <f>B58</f>
        <v>0</v>
      </c>
      <c r="T43" s="13" t="e">
        <f t="shared" si="1"/>
        <v>#N/A</v>
      </c>
      <c r="U43" s="13" t="e">
        <f t="shared" si="4"/>
        <v>#N/A</v>
      </c>
      <c r="V43" s="19" t="e">
        <f t="shared" si="2"/>
        <v>#N/A</v>
      </c>
      <c r="W43" s="13" t="e">
        <f t="shared" si="3"/>
        <v>#N/A</v>
      </c>
      <c r="X43" s="20" t="e">
        <f t="shared" si="5"/>
        <v>#N/A</v>
      </c>
    </row>
    <row r="44" spans="1:24" ht="12.75">
      <c r="A44" s="4" t="s">
        <v>913</v>
      </c>
      <c r="G44" s="117"/>
      <c r="H44" s="117"/>
      <c r="I44" s="117"/>
      <c r="J44" s="13"/>
      <c r="L44" s="13">
        <f>C53</f>
        <v>8</v>
      </c>
      <c r="M44" s="13">
        <f>C54</f>
        <v>0</v>
      </c>
      <c r="N44" s="13">
        <f>C55</f>
        <v>0</v>
      </c>
      <c r="O44" s="13">
        <f>C56</f>
        <v>0</v>
      </c>
      <c r="P44" s="13">
        <f>C57</f>
        <v>0</v>
      </c>
      <c r="Q44" s="191">
        <f t="shared" si="6"/>
        <v>0</v>
      </c>
      <c r="R44" s="191">
        <f>Q44/SUM(R22:R29)</f>
        <v>0</v>
      </c>
      <c r="S44" s="41">
        <f>C58</f>
        <v>0</v>
      </c>
      <c r="T44" s="13" t="e">
        <f t="shared" si="1"/>
        <v>#N/A</v>
      </c>
      <c r="U44" s="13" t="e">
        <f t="shared" si="4"/>
        <v>#N/A</v>
      </c>
      <c r="V44" s="19" t="e">
        <f t="shared" si="2"/>
        <v>#N/A</v>
      </c>
      <c r="W44" s="13" t="e">
        <f t="shared" si="3"/>
        <v>#N/A</v>
      </c>
      <c r="X44" s="20" t="e">
        <f t="shared" si="5"/>
        <v>#N/A</v>
      </c>
    </row>
    <row r="45" spans="7:24" ht="12.75">
      <c r="G45" s="117"/>
      <c r="H45" s="117"/>
      <c r="I45" s="117"/>
      <c r="J45" s="13"/>
      <c r="L45" s="13">
        <f>D53</f>
        <v>9</v>
      </c>
      <c r="M45" s="13">
        <f>D54</f>
        <v>0</v>
      </c>
      <c r="N45" s="13">
        <f>D55</f>
        <v>0</v>
      </c>
      <c r="O45" s="13">
        <f>D56</f>
        <v>0</v>
      </c>
      <c r="P45" s="13">
        <f>D57</f>
        <v>0</v>
      </c>
      <c r="Q45" s="191">
        <f t="shared" si="6"/>
        <v>0</v>
      </c>
      <c r="R45" s="191">
        <f>Q45/SUM(R22:R30)</f>
        <v>0</v>
      </c>
      <c r="S45" s="41">
        <f>D58</f>
        <v>0</v>
      </c>
      <c r="T45" s="13" t="e">
        <f t="shared" si="1"/>
        <v>#N/A</v>
      </c>
      <c r="U45" s="13" t="e">
        <f t="shared" si="4"/>
        <v>#N/A</v>
      </c>
      <c r="V45" s="19" t="e">
        <f t="shared" si="2"/>
        <v>#N/A</v>
      </c>
      <c r="W45" s="13" t="e">
        <f t="shared" si="3"/>
        <v>#N/A</v>
      </c>
      <c r="X45" s="20" t="e">
        <f t="shared" si="5"/>
        <v>#N/A</v>
      </c>
    </row>
    <row r="46" spans="1:24" ht="12.75">
      <c r="A46" s="11" t="s">
        <v>914</v>
      </c>
      <c r="B46" s="21">
        <v>1</v>
      </c>
      <c r="C46" s="21">
        <v>2</v>
      </c>
      <c r="D46" s="21">
        <v>3</v>
      </c>
      <c r="E46" s="21">
        <v>4</v>
      </c>
      <c r="F46" s="21">
        <v>5</v>
      </c>
      <c r="G46" s="118">
        <v>6</v>
      </c>
      <c r="H46" s="118"/>
      <c r="I46" s="117"/>
      <c r="J46" s="13"/>
      <c r="L46" s="13">
        <f>E53</f>
        <v>10</v>
      </c>
      <c r="M46" s="13">
        <f>E54</f>
        <v>0</v>
      </c>
      <c r="N46" s="13">
        <f>E55</f>
        <v>0</v>
      </c>
      <c r="O46" s="13">
        <f>E56</f>
        <v>0</v>
      </c>
      <c r="P46" s="13">
        <f>E57</f>
        <v>0</v>
      </c>
      <c r="Q46" s="191">
        <f t="shared" si="6"/>
        <v>0</v>
      </c>
      <c r="R46" s="191">
        <f>Q46/SUM(R22:R31)</f>
        <v>0</v>
      </c>
      <c r="S46" s="41">
        <f>E58</f>
        <v>0</v>
      </c>
      <c r="T46" s="13" t="e">
        <f t="shared" si="1"/>
        <v>#N/A</v>
      </c>
      <c r="U46" s="13" t="e">
        <f t="shared" si="4"/>
        <v>#N/A</v>
      </c>
      <c r="V46" s="19" t="e">
        <f t="shared" si="2"/>
        <v>#N/A</v>
      </c>
      <c r="W46" s="13" t="e">
        <f t="shared" si="3"/>
        <v>#N/A</v>
      </c>
      <c r="X46" s="20" t="e">
        <f t="shared" si="5"/>
        <v>#N/A</v>
      </c>
    </row>
    <row r="47" spans="1:24" ht="12.75">
      <c r="A47" s="13" t="s">
        <v>915</v>
      </c>
      <c r="B47" s="66">
        <v>25</v>
      </c>
      <c r="C47" s="66">
        <v>25</v>
      </c>
      <c r="D47" s="66">
        <v>0</v>
      </c>
      <c r="E47" s="66">
        <v>0</v>
      </c>
      <c r="F47" s="66">
        <v>0</v>
      </c>
      <c r="G47" s="139">
        <v>0</v>
      </c>
      <c r="H47" s="118"/>
      <c r="I47" s="117"/>
      <c r="J47" s="13"/>
      <c r="L47" s="13">
        <f>F53</f>
        <v>11</v>
      </c>
      <c r="M47" s="13">
        <f>F54</f>
        <v>0</v>
      </c>
      <c r="N47" s="13">
        <f>F55</f>
        <v>0</v>
      </c>
      <c r="O47" s="13">
        <f>F56</f>
        <v>0</v>
      </c>
      <c r="P47" s="13">
        <f>F57</f>
        <v>0</v>
      </c>
      <c r="Q47" s="191">
        <f t="shared" si="6"/>
        <v>0</v>
      </c>
      <c r="R47" s="191">
        <f>Q47/SUM(R22:R32)</f>
        <v>0</v>
      </c>
      <c r="S47" s="41">
        <f>F58</f>
        <v>0</v>
      </c>
      <c r="T47" s="13" t="e">
        <f t="shared" si="1"/>
        <v>#N/A</v>
      </c>
      <c r="U47" s="13" t="e">
        <f t="shared" si="4"/>
        <v>#N/A</v>
      </c>
      <c r="V47" s="19" t="e">
        <f t="shared" si="2"/>
        <v>#N/A</v>
      </c>
      <c r="W47" s="13" t="e">
        <f t="shared" si="3"/>
        <v>#N/A</v>
      </c>
      <c r="X47" s="20" t="e">
        <f t="shared" si="5"/>
        <v>#N/A</v>
      </c>
    </row>
    <row r="48" spans="1:24" ht="12.75">
      <c r="A48" s="13" t="s">
        <v>916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139">
        <v>0</v>
      </c>
      <c r="H48" s="118"/>
      <c r="I48" s="117"/>
      <c r="J48" s="13"/>
      <c r="L48" s="13">
        <f>G53</f>
        <v>12</v>
      </c>
      <c r="M48" s="13">
        <f>G54</f>
        <v>0</v>
      </c>
      <c r="N48" s="13">
        <f>G55</f>
        <v>0</v>
      </c>
      <c r="O48" s="13">
        <f>G56</f>
        <v>0</v>
      </c>
      <c r="P48" s="13">
        <f>G57</f>
        <v>0</v>
      </c>
      <c r="Q48" s="191">
        <f t="shared" si="6"/>
        <v>0</v>
      </c>
      <c r="R48" s="191">
        <f>Q48/SUM(R22:R33)</f>
        <v>0</v>
      </c>
      <c r="S48" s="41">
        <f>G58</f>
        <v>0</v>
      </c>
      <c r="T48" s="13" t="e">
        <f t="shared" si="1"/>
        <v>#N/A</v>
      </c>
      <c r="U48" s="13" t="e">
        <f t="shared" si="4"/>
        <v>#N/A</v>
      </c>
      <c r="V48" s="19" t="e">
        <f t="shared" si="2"/>
        <v>#N/A</v>
      </c>
      <c r="W48" s="13" t="e">
        <f t="shared" si="3"/>
        <v>#N/A</v>
      </c>
      <c r="X48" s="20" t="e">
        <f t="shared" si="5"/>
        <v>#N/A</v>
      </c>
    </row>
    <row r="49" spans="1:23" ht="12.75">
      <c r="A49" s="13" t="s">
        <v>917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139">
        <v>0</v>
      </c>
      <c r="H49" s="118"/>
      <c r="I49" s="117"/>
      <c r="J49" s="13" t="s">
        <v>25</v>
      </c>
      <c r="L49" s="13"/>
      <c r="M49" s="13"/>
      <c r="N49" s="13"/>
      <c r="O49" s="13"/>
      <c r="R49" s="13"/>
      <c r="S49" s="41"/>
      <c r="T49" s="13"/>
      <c r="U49" s="13"/>
      <c r="V49" s="13"/>
      <c r="W49" s="13"/>
    </row>
    <row r="50" spans="1:23" ht="12.75">
      <c r="A50" s="13" t="s">
        <v>918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139">
        <v>0</v>
      </c>
      <c r="H50" s="118"/>
      <c r="I50" s="117" t="s">
        <v>23</v>
      </c>
      <c r="J50" s="13" t="s">
        <v>24</v>
      </c>
      <c r="L50" s="13"/>
      <c r="M50" s="13"/>
      <c r="N50" s="13"/>
      <c r="O50" s="13"/>
      <c r="R50" s="13"/>
      <c r="S50" s="41"/>
      <c r="T50" s="13"/>
      <c r="U50" s="13"/>
      <c r="V50" s="13"/>
      <c r="W50" s="13"/>
    </row>
    <row r="51" spans="1:23" ht="12.75">
      <c r="A51" s="21" t="s">
        <v>361</v>
      </c>
      <c r="B51" s="21">
        <f aca="true" t="shared" si="7" ref="B51:G51">SUM(B47:B50)</f>
        <v>25</v>
      </c>
      <c r="C51" s="21">
        <f t="shared" si="7"/>
        <v>25</v>
      </c>
      <c r="D51" s="21">
        <f t="shared" si="7"/>
        <v>0</v>
      </c>
      <c r="E51" s="21">
        <f t="shared" si="7"/>
        <v>0</v>
      </c>
      <c r="F51" s="21">
        <f t="shared" si="7"/>
        <v>0</v>
      </c>
      <c r="G51" s="118">
        <f t="shared" si="7"/>
        <v>0</v>
      </c>
      <c r="H51" s="118"/>
      <c r="I51" s="117">
        <v>1</v>
      </c>
      <c r="J51" s="13">
        <f>SUM(B47:G47)+SUM(B54:G54)</f>
        <v>50</v>
      </c>
      <c r="L51" s="13"/>
      <c r="M51" s="13"/>
      <c r="N51" s="13"/>
      <c r="O51" s="13"/>
      <c r="R51" s="13"/>
      <c r="S51" s="41"/>
      <c r="T51" s="13"/>
      <c r="U51" s="13"/>
      <c r="V51" s="13"/>
      <c r="W51" s="13"/>
    </row>
    <row r="52" spans="7:23" ht="12.75">
      <c r="G52" s="117"/>
      <c r="H52" s="117"/>
      <c r="I52" s="117">
        <v>2</v>
      </c>
      <c r="J52" s="13">
        <f>SUM(B48:G48)+SUM(B55:G55)</f>
        <v>0</v>
      </c>
      <c r="L52" s="13"/>
      <c r="M52" s="13"/>
      <c r="N52" s="13"/>
      <c r="O52" s="13"/>
      <c r="R52" s="13"/>
      <c r="S52" s="41"/>
      <c r="T52" s="13"/>
      <c r="U52" s="13"/>
      <c r="V52" s="13"/>
      <c r="W52" s="13"/>
    </row>
    <row r="53" spans="1:23" ht="12.75">
      <c r="A53" s="11" t="s">
        <v>914</v>
      </c>
      <c r="B53" s="21">
        <v>7</v>
      </c>
      <c r="C53" s="21">
        <v>8</v>
      </c>
      <c r="D53" s="21">
        <v>9</v>
      </c>
      <c r="E53" s="21">
        <v>10</v>
      </c>
      <c r="F53" s="21">
        <v>11</v>
      </c>
      <c r="G53" s="118">
        <v>12</v>
      </c>
      <c r="H53" s="118"/>
      <c r="I53" s="117">
        <v>3</v>
      </c>
      <c r="J53" s="13">
        <f>SUM(B49:G49)+SUM(B56:G56)</f>
        <v>0</v>
      </c>
      <c r="L53" s="13"/>
      <c r="M53" s="13"/>
      <c r="N53" s="13"/>
      <c r="O53" s="13"/>
      <c r="R53" s="13"/>
      <c r="S53" s="41"/>
      <c r="T53" s="13"/>
      <c r="U53" s="13"/>
      <c r="V53" s="13"/>
      <c r="W53" s="13"/>
    </row>
    <row r="54" spans="1:23" ht="12.75">
      <c r="A54" s="13" t="s">
        <v>915</v>
      </c>
      <c r="B54" s="66">
        <v>0</v>
      </c>
      <c r="C54" s="66">
        <v>0</v>
      </c>
      <c r="D54" s="66">
        <v>0</v>
      </c>
      <c r="E54" s="66">
        <v>0</v>
      </c>
      <c r="F54" s="66">
        <v>0</v>
      </c>
      <c r="G54" s="139">
        <v>0</v>
      </c>
      <c r="H54" s="118"/>
      <c r="I54" s="117">
        <v>4</v>
      </c>
      <c r="J54" s="13">
        <f>SUM(B50:G50)+SUM(B57:G57)</f>
        <v>0</v>
      </c>
      <c r="L54" s="13"/>
      <c r="M54" s="13"/>
      <c r="N54" s="13"/>
      <c r="O54" s="13"/>
      <c r="R54" s="13"/>
      <c r="S54" s="41"/>
      <c r="T54" s="13"/>
      <c r="U54" s="13"/>
      <c r="V54" s="13"/>
      <c r="W54" s="13"/>
    </row>
    <row r="55" spans="1:23" ht="12.75">
      <c r="A55" s="13" t="s">
        <v>916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139">
        <v>0</v>
      </c>
      <c r="H55" s="118"/>
      <c r="I55" s="126" t="s">
        <v>361</v>
      </c>
      <c r="J55" s="13">
        <f>SUM(J51:J54)</f>
        <v>50</v>
      </c>
      <c r="L55" s="13"/>
      <c r="M55" s="13"/>
      <c r="N55" s="13"/>
      <c r="O55" s="13"/>
      <c r="R55" s="13"/>
      <c r="S55" s="41"/>
      <c r="T55" s="13"/>
      <c r="U55" s="13"/>
      <c r="V55" s="13"/>
      <c r="W55" s="13"/>
    </row>
    <row r="56" spans="1:23" ht="12.75">
      <c r="A56" s="13" t="s">
        <v>917</v>
      </c>
      <c r="B56" s="66">
        <v>0</v>
      </c>
      <c r="C56" s="66">
        <v>0</v>
      </c>
      <c r="D56" s="66">
        <v>0</v>
      </c>
      <c r="E56" s="66">
        <v>0</v>
      </c>
      <c r="F56" s="66">
        <v>0</v>
      </c>
      <c r="G56" s="139">
        <v>0</v>
      </c>
      <c r="H56" s="118"/>
      <c r="I56" s="117"/>
      <c r="J56" s="13"/>
      <c r="L56" s="13"/>
      <c r="M56" s="13"/>
      <c r="N56" s="13"/>
      <c r="O56" s="13"/>
      <c r="R56" s="13"/>
      <c r="S56" s="41"/>
      <c r="T56" s="13"/>
      <c r="U56" s="13"/>
      <c r="V56" s="13"/>
      <c r="W56" s="13"/>
    </row>
    <row r="57" spans="1:23" ht="12.75">
      <c r="A57" s="13" t="s">
        <v>918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139">
        <v>0</v>
      </c>
      <c r="H57" s="118"/>
      <c r="I57" s="117"/>
      <c r="J57" s="13"/>
      <c r="L57" s="13"/>
      <c r="M57" s="13"/>
      <c r="N57" s="13"/>
      <c r="O57" s="13"/>
      <c r="R57" s="14"/>
      <c r="S57" s="47"/>
      <c r="T57" s="14"/>
      <c r="U57" s="14"/>
      <c r="V57" s="14"/>
      <c r="W57" s="14"/>
    </row>
    <row r="58" spans="1:23" ht="12.75">
      <c r="A58" s="21" t="s">
        <v>361</v>
      </c>
      <c r="B58" s="21">
        <f aca="true" t="shared" si="8" ref="B58:G58">SUM(B54:B57)</f>
        <v>0</v>
      </c>
      <c r="C58" s="21">
        <f t="shared" si="8"/>
        <v>0</v>
      </c>
      <c r="D58" s="21">
        <f t="shared" si="8"/>
        <v>0</v>
      </c>
      <c r="E58" s="21">
        <f t="shared" si="8"/>
        <v>0</v>
      </c>
      <c r="F58" s="21">
        <f t="shared" si="8"/>
        <v>0</v>
      </c>
      <c r="G58" s="118">
        <f t="shared" si="8"/>
        <v>0</v>
      </c>
      <c r="H58" s="118"/>
      <c r="I58" s="117"/>
      <c r="R58" s="13"/>
      <c r="S58" s="41"/>
      <c r="T58" s="13"/>
      <c r="U58" s="13"/>
      <c r="V58" s="13"/>
      <c r="W58" s="13"/>
    </row>
    <row r="59" spans="7:23" ht="12.75">
      <c r="G59" s="117"/>
      <c r="H59" s="117"/>
      <c r="I59" s="117"/>
      <c r="J59" s="2"/>
      <c r="L59" s="13"/>
      <c r="M59" s="13"/>
      <c r="N59" s="13"/>
      <c r="O59" s="13"/>
      <c r="R59" s="13"/>
      <c r="S59" s="41"/>
      <c r="T59" s="13"/>
      <c r="U59" s="13"/>
      <c r="V59" s="13"/>
      <c r="W59" s="13"/>
    </row>
    <row r="60" spans="1:23" ht="12.75">
      <c r="A60" s="36"/>
      <c r="B60" s="36"/>
      <c r="C60" s="36"/>
      <c r="D60" s="36"/>
      <c r="E60" s="36"/>
      <c r="F60" s="36"/>
      <c r="G60" s="36"/>
      <c r="H60" s="34"/>
      <c r="I60" s="36"/>
      <c r="J60" s="34"/>
      <c r="R60" s="13"/>
      <c r="S60" s="41"/>
      <c r="T60" s="13"/>
      <c r="U60" s="13"/>
      <c r="V60" s="13"/>
      <c r="W60" s="13"/>
    </row>
    <row r="61" spans="1:23" ht="12.75">
      <c r="A61" s="36"/>
      <c r="B61" s="36"/>
      <c r="C61" s="36"/>
      <c r="D61" s="36"/>
      <c r="E61" s="36"/>
      <c r="F61" s="36"/>
      <c r="G61" s="36"/>
      <c r="H61" s="34"/>
      <c r="I61" s="36"/>
      <c r="J61" s="34"/>
      <c r="R61" s="13"/>
      <c r="S61" s="41"/>
      <c r="T61" s="13"/>
      <c r="U61" s="13"/>
      <c r="V61" s="13"/>
      <c r="W61" s="13"/>
    </row>
    <row r="62" spans="1:23" ht="12.75">
      <c r="A62" s="4" t="s">
        <v>919</v>
      </c>
      <c r="E62" s="21"/>
      <c r="F62" s="21"/>
      <c r="G62" s="21"/>
      <c r="H62" s="21"/>
      <c r="I62" s="21"/>
      <c r="J62" s="21"/>
      <c r="R62" s="13"/>
      <c r="S62" s="41"/>
      <c r="T62" s="13"/>
      <c r="U62" s="13"/>
      <c r="V62" s="13"/>
      <c r="W62" s="13"/>
    </row>
    <row r="63" spans="1:23" ht="12.75">
      <c r="A63" t="s">
        <v>920</v>
      </c>
      <c r="E63" s="108">
        <v>1</v>
      </c>
      <c r="F63" s="108">
        <v>21</v>
      </c>
      <c r="G63" s="108">
        <v>41</v>
      </c>
      <c r="H63" s="108">
        <v>61</v>
      </c>
      <c r="I63" s="108">
        <v>81</v>
      </c>
      <c r="J63" s="108">
        <v>101</v>
      </c>
      <c r="N63" s="13"/>
      <c r="O63" s="13"/>
      <c r="R63" s="13"/>
      <c r="S63" s="41"/>
      <c r="T63" s="13"/>
      <c r="U63" s="13"/>
      <c r="V63" s="13"/>
      <c r="W63" s="13"/>
    </row>
    <row r="64" spans="1:23" ht="12.75">
      <c r="A64" t="s">
        <v>921</v>
      </c>
      <c r="E64" s="108">
        <v>20</v>
      </c>
      <c r="F64" s="108">
        <v>40</v>
      </c>
      <c r="G64" s="108">
        <v>60</v>
      </c>
      <c r="H64" s="108">
        <v>80</v>
      </c>
      <c r="I64" s="108">
        <v>100</v>
      </c>
      <c r="J64" s="108">
        <v>200</v>
      </c>
      <c r="N64" s="13"/>
      <c r="O64" s="13"/>
      <c r="R64" s="13"/>
      <c r="S64" s="41"/>
      <c r="T64" s="13"/>
      <c r="U64" s="13"/>
      <c r="V64" s="13"/>
      <c r="W64" s="13"/>
    </row>
    <row r="65" spans="1:23" ht="12.75">
      <c r="A65" t="s">
        <v>922</v>
      </c>
      <c r="E65" s="81">
        <v>100</v>
      </c>
      <c r="F65" s="81">
        <v>100</v>
      </c>
      <c r="G65" s="81">
        <v>100</v>
      </c>
      <c r="H65" s="81">
        <v>100</v>
      </c>
      <c r="I65" s="81">
        <v>100</v>
      </c>
      <c r="J65" s="81">
        <v>0</v>
      </c>
      <c r="N65" s="13"/>
      <c r="O65" s="13"/>
      <c r="R65" s="13"/>
      <c r="S65" s="41"/>
      <c r="T65" s="13"/>
      <c r="U65" s="13"/>
      <c r="V65" s="13"/>
      <c r="W65" s="13"/>
    </row>
    <row r="66" spans="1:23" ht="12.75">
      <c r="A66" t="s">
        <v>923</v>
      </c>
      <c r="E66" s="77">
        <v>1.6</v>
      </c>
      <c r="F66" s="77">
        <v>1.6</v>
      </c>
      <c r="G66" s="77">
        <v>1.6</v>
      </c>
      <c r="H66" s="77">
        <v>1.6</v>
      </c>
      <c r="I66" s="77">
        <v>1.6</v>
      </c>
      <c r="J66" s="77">
        <v>1.6</v>
      </c>
      <c r="N66" s="13"/>
      <c r="O66" s="13"/>
      <c r="R66" s="13"/>
      <c r="S66" s="41"/>
      <c r="T66" s="13"/>
      <c r="U66" s="13"/>
      <c r="V66" s="13"/>
      <c r="W66" s="13"/>
    </row>
    <row r="67" spans="1:23" ht="12.75">
      <c r="A67" t="s">
        <v>924</v>
      </c>
      <c r="E67" s="77">
        <v>0.75</v>
      </c>
      <c r="F67" s="77">
        <v>0.75</v>
      </c>
      <c r="G67" s="77">
        <v>0.75</v>
      </c>
      <c r="H67" s="77">
        <v>0.75</v>
      </c>
      <c r="I67" s="77">
        <v>0.75</v>
      </c>
      <c r="J67" s="77">
        <v>0.75</v>
      </c>
      <c r="L67" s="13"/>
      <c r="M67" s="13"/>
      <c r="N67" s="13"/>
      <c r="O67" s="13"/>
      <c r="R67" s="13"/>
      <c r="S67" s="41"/>
      <c r="T67" s="13"/>
      <c r="U67" s="13"/>
      <c r="V67" s="13"/>
      <c r="W67" s="13"/>
    </row>
    <row r="68" spans="1:23" ht="12.75">
      <c r="A68" s="23"/>
      <c r="B68" s="23"/>
      <c r="C68" s="23"/>
      <c r="D68" s="23"/>
      <c r="E68" s="25"/>
      <c r="F68" s="25"/>
      <c r="G68" s="25"/>
      <c r="H68" s="25"/>
      <c r="I68" s="25"/>
      <c r="J68" s="25"/>
      <c r="L68" s="13"/>
      <c r="M68" s="13"/>
      <c r="N68" s="13"/>
      <c r="O68" s="13"/>
      <c r="R68" s="13"/>
      <c r="S68" s="41"/>
      <c r="T68" s="13"/>
      <c r="U68" s="13"/>
      <c r="V68" s="13"/>
      <c r="W68" s="13"/>
    </row>
    <row r="69" spans="1:23" ht="20.25">
      <c r="A69" s="37" t="s">
        <v>838</v>
      </c>
      <c r="G69"/>
      <c r="H69"/>
      <c r="J69" s="2"/>
      <c r="L69" s="14"/>
      <c r="M69" s="14"/>
      <c r="N69" s="14"/>
      <c r="O69" s="14"/>
      <c r="R69" s="13"/>
      <c r="S69" s="41"/>
      <c r="T69" s="13"/>
      <c r="U69" s="13"/>
      <c r="V69" s="13"/>
      <c r="W69" s="13"/>
    </row>
    <row r="70" spans="1:19" ht="12.75">
      <c r="A70" s="23"/>
      <c r="B70" s="23"/>
      <c r="C70" s="23"/>
      <c r="D70" s="23"/>
      <c r="E70" s="23"/>
      <c r="F70" s="25"/>
      <c r="G70" s="25"/>
      <c r="H70" s="25"/>
      <c r="I70" s="25"/>
      <c r="J70" s="25"/>
      <c r="L70" s="13"/>
      <c r="M70" s="13"/>
      <c r="N70" s="13"/>
      <c r="O70" s="13"/>
      <c r="R70" s="13"/>
      <c r="S70" s="41"/>
    </row>
    <row r="71" spans="1:15" ht="12.75">
      <c r="A71" s="4" t="s">
        <v>925</v>
      </c>
      <c r="E71" s="124"/>
      <c r="F71" s="117"/>
      <c r="G71" s="117"/>
      <c r="H71" s="117"/>
      <c r="I71" s="117"/>
      <c r="J71" s="117"/>
      <c r="L71" s="13"/>
      <c r="M71" s="13"/>
      <c r="N71" s="13"/>
      <c r="O71" s="13"/>
    </row>
    <row r="72" spans="1:15" ht="12.75">
      <c r="A72" t="s">
        <v>909</v>
      </c>
      <c r="E72" s="118">
        <f aca="true" t="shared" si="9" ref="E72:J72">E20</f>
        <v>1</v>
      </c>
      <c r="F72" s="118">
        <v>2</v>
      </c>
      <c r="G72" s="118">
        <f t="shared" si="9"/>
        <v>3</v>
      </c>
      <c r="H72" s="118">
        <f t="shared" si="9"/>
        <v>4</v>
      </c>
      <c r="I72" s="118">
        <f t="shared" si="9"/>
        <v>5</v>
      </c>
      <c r="J72" s="118">
        <f t="shared" si="9"/>
        <v>6</v>
      </c>
      <c r="L72" s="13"/>
      <c r="M72" s="13"/>
      <c r="N72" s="13"/>
      <c r="O72" s="13"/>
    </row>
    <row r="73" spans="1:15" ht="12.75">
      <c r="A73" t="s">
        <v>698</v>
      </c>
      <c r="E73" s="27">
        <f aca="true" t="shared" si="10" ref="E73:J73">IF(E72=$F7,E20*E21*E22*E25,0)</f>
        <v>0</v>
      </c>
      <c r="F73" s="27">
        <f t="shared" si="10"/>
        <v>96</v>
      </c>
      <c r="G73" s="27">
        <f t="shared" si="10"/>
        <v>0</v>
      </c>
      <c r="H73" s="27">
        <f t="shared" si="10"/>
        <v>0</v>
      </c>
      <c r="I73" s="27">
        <f t="shared" si="10"/>
        <v>0</v>
      </c>
      <c r="J73" s="27">
        <f t="shared" si="10"/>
        <v>0</v>
      </c>
      <c r="L73" s="13"/>
      <c r="M73" s="13"/>
      <c r="N73" s="13"/>
      <c r="O73" s="13"/>
    </row>
    <row r="74" spans="1:15" ht="12.75">
      <c r="A74" t="s">
        <v>699</v>
      </c>
      <c r="E74" s="27">
        <f aca="true" t="shared" si="11" ref="E74:J74">IF(E72=$F7,E20*E23*E24*E25,0)</f>
        <v>0</v>
      </c>
      <c r="F74" s="27">
        <f t="shared" si="11"/>
        <v>33</v>
      </c>
      <c r="G74" s="27">
        <f t="shared" si="11"/>
        <v>0</v>
      </c>
      <c r="H74" s="27">
        <f t="shared" si="11"/>
        <v>0</v>
      </c>
      <c r="I74" s="27">
        <f t="shared" si="11"/>
        <v>0</v>
      </c>
      <c r="J74" s="27">
        <f t="shared" si="11"/>
        <v>0</v>
      </c>
      <c r="L74" s="13"/>
      <c r="M74" s="13"/>
      <c r="N74" s="13"/>
      <c r="O74" s="13"/>
    </row>
    <row r="75" spans="1:15" ht="12.75">
      <c r="A75" t="s">
        <v>700</v>
      </c>
      <c r="E75" s="27">
        <f aca="true" t="shared" si="12" ref="E75:J75">IF(E72=$F7,E20*E21*E26*E27,0)</f>
        <v>0</v>
      </c>
      <c r="F75" s="27">
        <f t="shared" si="12"/>
        <v>36</v>
      </c>
      <c r="G75" s="27">
        <f t="shared" si="12"/>
        <v>0</v>
      </c>
      <c r="H75" s="27">
        <f t="shared" si="12"/>
        <v>0</v>
      </c>
      <c r="I75" s="27">
        <f t="shared" si="12"/>
        <v>0</v>
      </c>
      <c r="J75" s="27">
        <f t="shared" si="12"/>
        <v>0</v>
      </c>
      <c r="L75" s="14"/>
      <c r="M75" s="14"/>
      <c r="N75" s="14"/>
      <c r="O75" s="14"/>
    </row>
    <row r="76" spans="1:15" ht="12.75">
      <c r="A76" t="s">
        <v>702</v>
      </c>
      <c r="E76" s="27">
        <f aca="true" t="shared" si="13" ref="E76:J76">IF(E72=$F7,E20*E21*E28,0)</f>
        <v>0</v>
      </c>
      <c r="F76" s="27">
        <f t="shared" si="13"/>
        <v>60</v>
      </c>
      <c r="G76" s="27">
        <f t="shared" si="13"/>
        <v>0</v>
      </c>
      <c r="H76" s="27">
        <f t="shared" si="13"/>
        <v>0</v>
      </c>
      <c r="I76" s="27">
        <f t="shared" si="13"/>
        <v>0</v>
      </c>
      <c r="J76" s="27">
        <f t="shared" si="13"/>
        <v>0</v>
      </c>
      <c r="L76" s="14"/>
      <c r="M76" s="14"/>
      <c r="N76" s="14"/>
      <c r="O76" s="14"/>
    </row>
    <row r="77" spans="1:15" ht="12.75">
      <c r="A77" t="s">
        <v>703</v>
      </c>
      <c r="E77" s="27">
        <f aca="true" t="shared" si="14" ref="E77:J77">IF(E72=$F7,E29*E20,0)</f>
        <v>0</v>
      </c>
      <c r="F77" s="27">
        <f t="shared" si="14"/>
        <v>240</v>
      </c>
      <c r="G77" s="27">
        <f t="shared" si="14"/>
        <v>0</v>
      </c>
      <c r="H77" s="27">
        <f t="shared" si="14"/>
        <v>0</v>
      </c>
      <c r="I77" s="27">
        <f t="shared" si="14"/>
        <v>0</v>
      </c>
      <c r="J77" s="27">
        <f t="shared" si="14"/>
        <v>0</v>
      </c>
      <c r="L77" s="14"/>
      <c r="M77" s="14"/>
      <c r="N77" s="14"/>
      <c r="O77" s="14"/>
    </row>
    <row r="78" spans="4:15" ht="12.75">
      <c r="D78" t="s">
        <v>717</v>
      </c>
      <c r="E78" s="27">
        <f aca="true" t="shared" si="15" ref="E78:J78">SUM(E73:E77)</f>
        <v>0</v>
      </c>
      <c r="F78" s="27">
        <f t="shared" si="15"/>
        <v>465</v>
      </c>
      <c r="G78" s="27">
        <f t="shared" si="15"/>
        <v>0</v>
      </c>
      <c r="H78" s="27">
        <f t="shared" si="15"/>
        <v>0</v>
      </c>
      <c r="I78" s="27">
        <f t="shared" si="15"/>
        <v>0</v>
      </c>
      <c r="J78" s="27">
        <f t="shared" si="15"/>
        <v>0</v>
      </c>
      <c r="L78" s="14"/>
      <c r="M78" s="14"/>
      <c r="N78" s="14"/>
      <c r="O78" s="14"/>
    </row>
    <row r="79" spans="4:15" ht="12.75">
      <c r="D79" t="s">
        <v>20</v>
      </c>
      <c r="E79" s="27">
        <f aca="true" t="shared" si="16" ref="E79:J79">(E78/E72)</f>
        <v>0</v>
      </c>
      <c r="F79" s="27">
        <f t="shared" si="16"/>
        <v>232.5</v>
      </c>
      <c r="G79" s="27">
        <f t="shared" si="16"/>
        <v>0</v>
      </c>
      <c r="H79" s="27">
        <f t="shared" si="16"/>
        <v>0</v>
      </c>
      <c r="I79" s="27">
        <f t="shared" si="16"/>
        <v>0</v>
      </c>
      <c r="J79" s="27">
        <f t="shared" si="16"/>
        <v>0</v>
      </c>
      <c r="L79" s="14"/>
      <c r="M79" s="14"/>
      <c r="N79" s="14"/>
      <c r="O79" s="14"/>
    </row>
    <row r="80" spans="5:15" ht="12.75">
      <c r="E80" s="116"/>
      <c r="F80" s="117"/>
      <c r="G80" s="117"/>
      <c r="H80" s="117"/>
      <c r="I80" s="117"/>
      <c r="J80" s="117"/>
      <c r="L80" s="14"/>
      <c r="M80" s="14"/>
      <c r="N80" s="14"/>
      <c r="O80" s="14"/>
    </row>
    <row r="81" spans="1:15" ht="12.75">
      <c r="A81" t="s">
        <v>909</v>
      </c>
      <c r="E81" s="118">
        <f aca="true" t="shared" si="17" ref="E81:J81">E31</f>
        <v>7</v>
      </c>
      <c r="F81" s="118">
        <f t="shared" si="17"/>
        <v>8</v>
      </c>
      <c r="G81" s="118">
        <f t="shared" si="17"/>
        <v>9</v>
      </c>
      <c r="H81" s="118">
        <f t="shared" si="17"/>
        <v>10</v>
      </c>
      <c r="I81" s="118">
        <f t="shared" si="17"/>
        <v>11</v>
      </c>
      <c r="J81" s="118">
        <f t="shared" si="17"/>
        <v>12</v>
      </c>
      <c r="L81" s="14"/>
      <c r="M81" s="14"/>
      <c r="N81" s="14"/>
      <c r="O81" s="14"/>
    </row>
    <row r="82" spans="1:15" ht="12.75">
      <c r="A82" t="s">
        <v>698</v>
      </c>
      <c r="E82" s="27">
        <f aca="true" t="shared" si="18" ref="E82:J82">IF(E81=$F7,E31*E32*E33*E36,0)</f>
        <v>0</v>
      </c>
      <c r="F82" s="27">
        <f t="shared" si="18"/>
        <v>0</v>
      </c>
      <c r="G82" s="27">
        <f t="shared" si="18"/>
        <v>0</v>
      </c>
      <c r="H82" s="27">
        <f t="shared" si="18"/>
        <v>0</v>
      </c>
      <c r="I82" s="27">
        <f t="shared" si="18"/>
        <v>0</v>
      </c>
      <c r="J82" s="27">
        <f t="shared" si="18"/>
        <v>0</v>
      </c>
      <c r="L82" s="14"/>
      <c r="M82" s="14"/>
      <c r="N82" s="14"/>
      <c r="O82" s="14"/>
    </row>
    <row r="83" spans="1:15" ht="12.75">
      <c r="A83" t="s">
        <v>699</v>
      </c>
      <c r="E83" s="27">
        <f aca="true" t="shared" si="19" ref="E83:J83">IF(E81=$F7,E31*E34*E35*E36,0)</f>
        <v>0</v>
      </c>
      <c r="F83" s="27">
        <f t="shared" si="19"/>
        <v>0</v>
      </c>
      <c r="G83" s="27">
        <f t="shared" si="19"/>
        <v>0</v>
      </c>
      <c r="H83" s="27">
        <f t="shared" si="19"/>
        <v>0</v>
      </c>
      <c r="I83" s="27">
        <f t="shared" si="19"/>
        <v>0</v>
      </c>
      <c r="J83" s="27">
        <f t="shared" si="19"/>
        <v>0</v>
      </c>
      <c r="L83" s="14"/>
      <c r="M83" s="14"/>
      <c r="N83" s="14"/>
      <c r="O83" s="14"/>
    </row>
    <row r="84" spans="1:15" ht="12.75">
      <c r="A84" t="s">
        <v>700</v>
      </c>
      <c r="E84" s="27">
        <f aca="true" t="shared" si="20" ref="E84:J84">IF(E81=$F7,E31*E32*E37*E38,0)</f>
        <v>0</v>
      </c>
      <c r="F84" s="27">
        <f t="shared" si="20"/>
        <v>0</v>
      </c>
      <c r="G84" s="27">
        <f t="shared" si="20"/>
        <v>0</v>
      </c>
      <c r="H84" s="27">
        <f t="shared" si="20"/>
        <v>0</v>
      </c>
      <c r="I84" s="27">
        <f t="shared" si="20"/>
        <v>0</v>
      </c>
      <c r="J84" s="27">
        <f t="shared" si="20"/>
        <v>0</v>
      </c>
      <c r="L84" s="14"/>
      <c r="M84" s="14"/>
      <c r="N84" s="14"/>
      <c r="O84" s="14"/>
    </row>
    <row r="85" spans="1:15" ht="12.75">
      <c r="A85" t="s">
        <v>702</v>
      </c>
      <c r="E85" s="27">
        <f aca="true" t="shared" si="21" ref="E85:J85">IF(E81=$F7,E31*E32*E39,0)</f>
        <v>0</v>
      </c>
      <c r="F85" s="27">
        <f t="shared" si="21"/>
        <v>0</v>
      </c>
      <c r="G85" s="27">
        <f t="shared" si="21"/>
        <v>0</v>
      </c>
      <c r="H85" s="27">
        <f t="shared" si="21"/>
        <v>0</v>
      </c>
      <c r="I85" s="27">
        <f t="shared" si="21"/>
        <v>0</v>
      </c>
      <c r="J85" s="27">
        <f t="shared" si="21"/>
        <v>0</v>
      </c>
      <c r="L85" s="13"/>
      <c r="M85" s="13"/>
      <c r="N85" s="13"/>
      <c r="O85" s="13"/>
    </row>
    <row r="86" spans="1:15" ht="12.75">
      <c r="A86" t="s">
        <v>703</v>
      </c>
      <c r="E86" s="27">
        <f aca="true" t="shared" si="22" ref="E86:J86">IF(E81=$F7,E31*E40,0)</f>
        <v>0</v>
      </c>
      <c r="F86" s="27">
        <f t="shared" si="22"/>
        <v>0</v>
      </c>
      <c r="G86" s="27">
        <f t="shared" si="22"/>
        <v>0</v>
      </c>
      <c r="H86" s="27">
        <f t="shared" si="22"/>
        <v>0</v>
      </c>
      <c r="I86" s="27">
        <f t="shared" si="22"/>
        <v>0</v>
      </c>
      <c r="J86" s="27">
        <f t="shared" si="22"/>
        <v>0</v>
      </c>
      <c r="L86" s="13"/>
      <c r="M86" s="13"/>
      <c r="N86" s="13"/>
      <c r="O86" s="13"/>
    </row>
    <row r="87" spans="4:15" ht="12.75">
      <c r="D87" t="s">
        <v>717</v>
      </c>
      <c r="E87" s="27">
        <f aca="true" t="shared" si="23" ref="E87:J87">SUM(E82:E86)</f>
        <v>0</v>
      </c>
      <c r="F87" s="27">
        <f t="shared" si="23"/>
        <v>0</v>
      </c>
      <c r="G87" s="27">
        <f t="shared" si="23"/>
        <v>0</v>
      </c>
      <c r="H87" s="27">
        <f t="shared" si="23"/>
        <v>0</v>
      </c>
      <c r="I87" s="27">
        <f t="shared" si="23"/>
        <v>0</v>
      </c>
      <c r="J87" s="27">
        <f t="shared" si="23"/>
        <v>0</v>
      </c>
      <c r="L87" s="14"/>
      <c r="M87" s="14"/>
      <c r="N87" s="14"/>
      <c r="O87" s="14"/>
    </row>
    <row r="88" spans="4:15" ht="12.75">
      <c r="D88" t="s">
        <v>20</v>
      </c>
      <c r="E88" s="27">
        <f aca="true" t="shared" si="24" ref="E88:J88">(E87/E81)</f>
        <v>0</v>
      </c>
      <c r="F88" s="27">
        <f t="shared" si="24"/>
        <v>0</v>
      </c>
      <c r="G88" s="27">
        <f t="shared" si="24"/>
        <v>0</v>
      </c>
      <c r="H88" s="27">
        <f t="shared" si="24"/>
        <v>0</v>
      </c>
      <c r="I88" s="27">
        <f t="shared" si="24"/>
        <v>0</v>
      </c>
      <c r="J88" s="27">
        <f t="shared" si="24"/>
        <v>0</v>
      </c>
      <c r="L88" s="13"/>
      <c r="M88" s="13"/>
      <c r="N88" s="13"/>
      <c r="O88" s="13"/>
    </row>
    <row r="89" spans="1:15" ht="12.75">
      <c r="A89" s="23"/>
      <c r="B89" s="23"/>
      <c r="C89" s="23"/>
      <c r="D89" s="23"/>
      <c r="E89" s="23"/>
      <c r="F89" s="25"/>
      <c r="G89" s="25"/>
      <c r="H89" s="25"/>
      <c r="I89" s="25"/>
      <c r="J89" s="25"/>
      <c r="L89" s="14"/>
      <c r="M89" s="14"/>
      <c r="N89" s="14"/>
      <c r="O89" s="14"/>
    </row>
    <row r="90" spans="1:15" ht="12.75">
      <c r="A90" s="4" t="s">
        <v>926</v>
      </c>
      <c r="F90" s="21"/>
      <c r="G90" s="117"/>
      <c r="H90" s="117"/>
      <c r="I90" s="117"/>
      <c r="J90" s="117"/>
      <c r="L90" s="14"/>
      <c r="M90" s="14"/>
      <c r="N90" s="14"/>
      <c r="O90" s="14"/>
    </row>
    <row r="91" spans="1:15" ht="12.75">
      <c r="A91" t="s">
        <v>518</v>
      </c>
      <c r="G91" s="117">
        <f>(PRODUCTION!B6)</f>
        <v>365</v>
      </c>
      <c r="H91" s="117"/>
      <c r="I91" s="117"/>
      <c r="J91" s="117"/>
      <c r="L91" s="14"/>
      <c r="M91" s="14"/>
      <c r="N91" s="14"/>
      <c r="O91" s="14"/>
    </row>
    <row r="92" spans="1:15" ht="12.75">
      <c r="A92" t="s">
        <v>927</v>
      </c>
      <c r="G92" s="120">
        <f>INT(PRODUCTION!B63)+1</f>
        <v>48</v>
      </c>
      <c r="H92" s="117"/>
      <c r="I92" s="117"/>
      <c r="J92" s="117"/>
      <c r="L92" s="14"/>
      <c r="M92" s="14"/>
      <c r="N92" s="14"/>
      <c r="O92" s="14"/>
    </row>
    <row r="93" spans="1:15" ht="12.75">
      <c r="A93" t="s">
        <v>929</v>
      </c>
      <c r="G93" s="125">
        <f>VLOOKUP(F7,L37:S48,7)</f>
        <v>25</v>
      </c>
      <c r="H93" s="117"/>
      <c r="I93" s="117"/>
      <c r="J93" s="117"/>
      <c r="L93" s="14"/>
      <c r="M93" s="14"/>
      <c r="N93" s="14"/>
      <c r="O93" s="14"/>
    </row>
    <row r="94" spans="1:15" ht="12.75">
      <c r="A94" t="s">
        <v>930</v>
      </c>
      <c r="G94" s="125">
        <f>F13</f>
        <v>2</v>
      </c>
      <c r="H94" s="117"/>
      <c r="I94" s="117"/>
      <c r="J94" s="117"/>
      <c r="L94" s="14"/>
      <c r="M94" s="14"/>
      <c r="N94" s="14"/>
      <c r="O94" s="14"/>
    </row>
    <row r="95" spans="1:15" ht="12.75">
      <c r="A95" t="s">
        <v>931</v>
      </c>
      <c r="G95" s="125">
        <f>(G93/G94)</f>
        <v>12.5</v>
      </c>
      <c r="H95" s="117"/>
      <c r="I95" s="117"/>
      <c r="J95" s="117"/>
      <c r="L95" s="14"/>
      <c r="M95" s="14"/>
      <c r="N95" s="14"/>
      <c r="O95" s="14"/>
    </row>
    <row r="96" spans="1:15" ht="12.75">
      <c r="A96" t="s">
        <v>904</v>
      </c>
      <c r="G96" s="119">
        <f>F14</f>
        <v>0.05</v>
      </c>
      <c r="H96" s="117"/>
      <c r="I96" s="117"/>
      <c r="J96" s="117"/>
      <c r="L96" s="13"/>
      <c r="M96" s="13"/>
      <c r="N96" s="13"/>
      <c r="O96" s="13"/>
    </row>
    <row r="97" spans="1:15" ht="12.75">
      <c r="A97" t="s">
        <v>932</v>
      </c>
      <c r="G97" s="125">
        <f>G92/G95+((G92/G95)*G96)</f>
        <v>4.032</v>
      </c>
      <c r="H97" s="117"/>
      <c r="I97" s="117"/>
      <c r="J97" s="117"/>
      <c r="L97" s="14"/>
      <c r="M97" s="14"/>
      <c r="N97" s="14"/>
      <c r="O97" s="14"/>
    </row>
    <row r="98" spans="1:15" ht="12.75">
      <c r="A98" t="s">
        <v>933</v>
      </c>
      <c r="G98" s="125">
        <f>INT(G92/G93)+1</f>
        <v>2</v>
      </c>
      <c r="H98" s="117"/>
      <c r="I98" s="117"/>
      <c r="J98" s="117"/>
      <c r="L98" s="14"/>
      <c r="M98" s="14"/>
      <c r="N98" s="14"/>
      <c r="O98" s="14"/>
    </row>
    <row r="99" spans="1:15" ht="12.75">
      <c r="A99" t="s">
        <v>934</v>
      </c>
      <c r="G99" s="125" t="str">
        <f>IF(G98=F7,"YES","NO")</f>
        <v>YES</v>
      </c>
      <c r="H99" s="117"/>
      <c r="I99" s="117"/>
      <c r="J99" s="117"/>
      <c r="L99" s="14"/>
      <c r="M99" s="14"/>
      <c r="N99" s="14"/>
      <c r="O99" s="14"/>
    </row>
    <row r="100" spans="1:15" ht="12.75">
      <c r="A100" t="s">
        <v>935</v>
      </c>
      <c r="G100" s="120">
        <f>(G93*F7)</f>
        <v>50</v>
      </c>
      <c r="H100" s="117"/>
      <c r="I100" s="117"/>
      <c r="J100" s="117"/>
      <c r="L100" s="14"/>
      <c r="M100" s="14"/>
      <c r="N100" s="14"/>
      <c r="O100" s="14"/>
    </row>
    <row r="101" spans="1:15" ht="12.75">
      <c r="A101" t="s">
        <v>936</v>
      </c>
      <c r="G101" s="120" t="str">
        <f>IF(G100&gt;G92,"YES","NO")</f>
        <v>YES</v>
      </c>
      <c r="H101" s="120"/>
      <c r="I101" s="117"/>
      <c r="J101" s="117"/>
      <c r="L101" s="13"/>
      <c r="M101" s="13"/>
      <c r="N101" s="13"/>
      <c r="O101" s="13"/>
    </row>
    <row r="102" spans="1:15" ht="12.75">
      <c r="A102" t="s">
        <v>937</v>
      </c>
      <c r="G102" s="120">
        <f>J55</f>
        <v>50</v>
      </c>
      <c r="H102" s="120"/>
      <c r="I102" s="117"/>
      <c r="J102" s="117"/>
      <c r="K102" s="13"/>
      <c r="L102" s="13"/>
      <c r="M102" s="13"/>
      <c r="N102" s="13"/>
      <c r="O102" s="13"/>
    </row>
    <row r="103" spans="1:15" ht="12.75">
      <c r="A103" t="s">
        <v>938</v>
      </c>
      <c r="G103" s="120">
        <f>G91/(PRODUCTION!B26)*G100</f>
        <v>521.4285714285714</v>
      </c>
      <c r="H103" s="117"/>
      <c r="I103" s="117"/>
      <c r="J103" s="117"/>
      <c r="L103" s="14"/>
      <c r="M103" s="14"/>
      <c r="N103" s="14"/>
      <c r="O103" s="14"/>
    </row>
    <row r="104" spans="1:15" ht="12.75">
      <c r="A104" t="s">
        <v>939</v>
      </c>
      <c r="G104" s="27">
        <f>VLOOKUP(F7,L37:U48,10)</f>
        <v>200</v>
      </c>
      <c r="J104" s="13"/>
      <c r="L104" s="14"/>
      <c r="M104" s="14"/>
      <c r="N104" s="14"/>
      <c r="O104" s="14"/>
    </row>
    <row r="105" spans="1:15" ht="12.75">
      <c r="A105" t="s">
        <v>940</v>
      </c>
      <c r="G105" s="27">
        <f>VLOOKUP(F7,L37:X48,13)</f>
        <v>80</v>
      </c>
      <c r="J105" s="13"/>
      <c r="L105" s="14"/>
      <c r="M105" s="14"/>
      <c r="N105" s="14"/>
      <c r="O105" s="14"/>
    </row>
    <row r="106" spans="1:15" ht="12.75">
      <c r="A106" t="s">
        <v>941</v>
      </c>
      <c r="G106" s="15">
        <f>(F15*G100)</f>
        <v>30</v>
      </c>
      <c r="J106" s="13"/>
      <c r="L106" s="14"/>
      <c r="M106" s="14"/>
      <c r="N106" s="14"/>
      <c r="O106" s="14"/>
    </row>
    <row r="107" spans="1:15" ht="12.75">
      <c r="A107" t="s">
        <v>942</v>
      </c>
      <c r="G107" s="15">
        <f>(F16*G100)</f>
        <v>20</v>
      </c>
      <c r="J107" s="13"/>
      <c r="L107" s="14"/>
      <c r="M107" s="14"/>
      <c r="N107" s="14"/>
      <c r="O107" s="14"/>
    </row>
    <row r="108" spans="1:15" ht="12.75">
      <c r="A108" t="s">
        <v>771</v>
      </c>
      <c r="G108" s="15">
        <f>(F17*G100)</f>
        <v>0</v>
      </c>
      <c r="J108" s="13"/>
      <c r="L108" s="14"/>
      <c r="M108" s="14"/>
      <c r="N108" s="14"/>
      <c r="O108" s="14"/>
    </row>
    <row r="109" spans="1:15" ht="12.75">
      <c r="A109" t="s">
        <v>943</v>
      </c>
      <c r="G109" s="27">
        <f>VLOOKUP(G106,L4:O16,4)*F12+VLOOKUP(G107,L4:O16,4)*F12+VLOOKUP(G108,L4:O16,4)*F12</f>
        <v>150</v>
      </c>
      <c r="J109" s="13"/>
      <c r="L109" s="14"/>
      <c r="M109" s="14"/>
      <c r="N109" s="14"/>
      <c r="O109" s="14"/>
    </row>
    <row r="110" spans="1:15" ht="12.75">
      <c r="A110" s="23"/>
      <c r="B110" s="23"/>
      <c r="C110" s="23"/>
      <c r="D110" s="23"/>
      <c r="E110" s="23"/>
      <c r="F110" s="23"/>
      <c r="G110" s="25"/>
      <c r="H110" s="25"/>
      <c r="I110" s="25"/>
      <c r="J110" s="25"/>
      <c r="L110" s="14"/>
      <c r="M110" s="14"/>
      <c r="N110" s="14"/>
      <c r="O110" s="14"/>
    </row>
    <row r="111" spans="1:15" ht="15.75">
      <c r="A111" s="51" t="s">
        <v>768</v>
      </c>
      <c r="D111" s="115" t="str">
        <f>PRODUCTION!B4</f>
        <v>On-Farm</v>
      </c>
      <c r="E111" s="115" t="str">
        <f>PRODUCTION!B5</f>
        <v>Semen</v>
      </c>
      <c r="F111" s="124"/>
      <c r="G111" s="2"/>
      <c r="J111" s="13"/>
      <c r="L111" s="14"/>
      <c r="M111" s="14"/>
      <c r="N111" s="14"/>
      <c r="O111" s="14"/>
    </row>
    <row r="112" spans="1:15" ht="12.75">
      <c r="A112" s="23"/>
      <c r="B112" s="23"/>
      <c r="C112" s="23"/>
      <c r="D112" s="23"/>
      <c r="E112" s="23"/>
      <c r="F112" s="23"/>
      <c r="G112" s="25"/>
      <c r="H112" s="129"/>
      <c r="I112" s="129"/>
      <c r="J112" s="129"/>
      <c r="L112" s="14"/>
      <c r="M112" s="14"/>
      <c r="N112" s="14"/>
      <c r="O112" s="14"/>
    </row>
    <row r="113" spans="1:15" ht="12.75">
      <c r="A113" s="50" t="s">
        <v>518</v>
      </c>
      <c r="B113" s="50"/>
      <c r="F113" s="124"/>
      <c r="G113" s="117">
        <f>(PRODUCTION!C$6)</f>
        <v>365</v>
      </c>
      <c r="I113" s="117"/>
      <c r="J113" s="117"/>
      <c r="L113" s="14"/>
      <c r="M113" s="14"/>
      <c r="N113" s="14"/>
      <c r="O113" s="14"/>
    </row>
    <row r="114" spans="1:15" ht="12.75">
      <c r="A114" s="50" t="s">
        <v>803</v>
      </c>
      <c r="B114" s="50"/>
      <c r="F114" s="124"/>
      <c r="G114" s="120">
        <f>PRODUCTION!B102</f>
        <v>108.76925600853089</v>
      </c>
      <c r="I114" s="117"/>
      <c r="J114" s="117"/>
      <c r="L114" s="14"/>
      <c r="M114" s="14"/>
      <c r="N114" s="14"/>
      <c r="O114" s="14"/>
    </row>
    <row r="115" spans="1:15" ht="12.75">
      <c r="A115" t="s">
        <v>861</v>
      </c>
      <c r="F115" s="124"/>
      <c r="G115" s="41">
        <f>(PRODUCTION!B6)/(PRODUCTION!B26)</f>
        <v>10.428571428571429</v>
      </c>
      <c r="I115" s="117"/>
      <c r="J115" s="117"/>
      <c r="L115" s="14"/>
      <c r="M115" s="14"/>
      <c r="N115" s="14"/>
      <c r="O115" s="14"/>
    </row>
    <row r="116" spans="1:15" ht="12.75">
      <c r="A116" s="26" t="s">
        <v>862</v>
      </c>
      <c r="F116" s="124"/>
      <c r="G116" s="15">
        <f>(PRODUCTION!B75)</f>
        <v>23.952095808383234</v>
      </c>
      <c r="J116" s="13"/>
      <c r="L116" s="14"/>
      <c r="M116" s="14"/>
      <c r="N116" s="14"/>
      <c r="O116" s="14"/>
    </row>
    <row r="117" spans="1:15" ht="12.75">
      <c r="A117" s="26" t="s">
        <v>523</v>
      </c>
      <c r="F117" s="124"/>
      <c r="G117" s="15">
        <f>(PRODUCTION!B63)</f>
        <v>47.90419161676647</v>
      </c>
      <c r="J117" s="13"/>
      <c r="L117" s="14"/>
      <c r="M117" s="14"/>
      <c r="N117" s="14"/>
      <c r="O117" s="14"/>
    </row>
    <row r="118" spans="1:15" ht="12.75">
      <c r="A118" s="26" t="s">
        <v>364</v>
      </c>
      <c r="F118" s="124"/>
      <c r="G118" s="15">
        <f>(PRODUCTION!B124)</f>
        <v>499.57228400342177</v>
      </c>
      <c r="J118" s="13"/>
      <c r="L118" s="14"/>
      <c r="M118" s="14"/>
      <c r="N118" s="14"/>
      <c r="O118" s="14"/>
    </row>
    <row r="119" spans="1:15" ht="12.75">
      <c r="A119" s="26" t="s">
        <v>864</v>
      </c>
      <c r="F119" s="124"/>
      <c r="G119" s="15">
        <f>(PRODUCTION!B120)</f>
        <v>249.78614200171089</v>
      </c>
      <c r="J119" s="13"/>
      <c r="L119" s="14"/>
      <c r="M119" s="14"/>
      <c r="N119" s="14"/>
      <c r="O119" s="14"/>
    </row>
    <row r="120" spans="1:15" ht="12.75">
      <c r="A120" s="26" t="s">
        <v>529</v>
      </c>
      <c r="F120" s="124"/>
      <c r="G120" s="15">
        <f>(PRODUCTION!B126)</f>
        <v>208.57142857142858</v>
      </c>
      <c r="J120" s="13"/>
      <c r="L120" s="14"/>
      <c r="M120" s="14"/>
      <c r="N120" s="14"/>
      <c r="O120" s="14"/>
    </row>
    <row r="121" spans="1:15" ht="12.75">
      <c r="A121" s="26" t="s">
        <v>865</v>
      </c>
      <c r="F121" s="124"/>
      <c r="G121" s="15">
        <f>INT(PRODUCTION!B134)</f>
        <v>1981</v>
      </c>
      <c r="J121" s="13"/>
      <c r="L121" s="14"/>
      <c r="M121" s="14"/>
      <c r="N121" s="14"/>
      <c r="O121" s="14"/>
    </row>
    <row r="122" spans="1:15" ht="12.75">
      <c r="A122" s="26" t="s">
        <v>866</v>
      </c>
      <c r="F122" s="124"/>
      <c r="G122" s="13">
        <f>(PRODUCTION!B135)</f>
        <v>1931</v>
      </c>
      <c r="J122" s="13"/>
      <c r="L122" s="14"/>
      <c r="M122" s="14"/>
      <c r="N122" s="14"/>
      <c r="O122" s="14"/>
    </row>
    <row r="123" spans="1:15" ht="12.75">
      <c r="A123" s="23"/>
      <c r="B123" s="23"/>
      <c r="C123" s="23"/>
      <c r="D123" s="23"/>
      <c r="E123" s="23"/>
      <c r="F123" s="23"/>
      <c r="G123" s="25"/>
      <c r="H123" s="129"/>
      <c r="I123" s="129"/>
      <c r="J123" s="129"/>
      <c r="L123" s="14"/>
      <c r="M123" s="14"/>
      <c r="N123" s="14"/>
      <c r="O123" s="14"/>
    </row>
    <row r="124" spans="1:15" ht="12.75">
      <c r="A124" s="148"/>
      <c r="B124" s="141"/>
      <c r="C124" s="141"/>
      <c r="D124" s="141"/>
      <c r="E124" s="141"/>
      <c r="F124" s="155"/>
      <c r="G124" s="129"/>
      <c r="H124" s="129"/>
      <c r="I124" s="129"/>
      <c r="J124" s="156"/>
      <c r="L124" s="14"/>
      <c r="M124" s="14"/>
      <c r="N124" s="14"/>
      <c r="O124" s="14"/>
    </row>
    <row r="125" spans="1:15" ht="15.75">
      <c r="A125" s="112" t="s">
        <v>944</v>
      </c>
      <c r="F125" s="117"/>
      <c r="L125" s="13"/>
      <c r="M125" s="13"/>
      <c r="N125" s="13"/>
      <c r="O125" s="13"/>
    </row>
    <row r="126" spans="1:15" ht="12.75">
      <c r="A126" t="s">
        <v>945</v>
      </c>
      <c r="F126" s="27">
        <f>VLOOKUP(F7,L22:M33,2)</f>
        <v>465</v>
      </c>
      <c r="L126" s="13"/>
      <c r="M126" s="13"/>
      <c r="N126" s="13"/>
      <c r="O126" s="13"/>
    </row>
    <row r="127" spans="1:15" ht="12.75">
      <c r="A127" t="s">
        <v>954</v>
      </c>
      <c r="F127" s="27">
        <f>(((F8*F7)-(F7*F11))*(G113/(F10*30)))</f>
        <v>2129.1666666666665</v>
      </c>
      <c r="L127" s="13"/>
      <c r="M127" s="13"/>
      <c r="N127" s="13"/>
      <c r="O127" s="13"/>
    </row>
    <row r="128" spans="1:15" ht="12.75">
      <c r="A128" t="s">
        <v>955</v>
      </c>
      <c r="F128" s="27">
        <f>INT(G91/30)*G105</f>
        <v>960</v>
      </c>
      <c r="L128" s="13"/>
      <c r="M128" s="13"/>
      <c r="N128" s="13"/>
      <c r="O128" s="13"/>
    </row>
    <row r="129" spans="1:15" ht="12.75">
      <c r="A129" t="s">
        <v>956</v>
      </c>
      <c r="F129" s="27">
        <f>INT(G91/30)*G104</f>
        <v>2400</v>
      </c>
      <c r="L129" s="13"/>
      <c r="M129" s="13"/>
      <c r="N129" s="13"/>
      <c r="O129" s="13"/>
    </row>
    <row r="130" spans="1:15" ht="12.75">
      <c r="A130" t="s">
        <v>957</v>
      </c>
      <c r="F130" s="27">
        <f>((PRODUCTION!B6)/(PRODUCTION!B26))*G109</f>
        <v>1564.2857142857142</v>
      </c>
      <c r="L130" s="13"/>
      <c r="M130" s="13"/>
      <c r="N130" s="13"/>
      <c r="O130" s="13"/>
    </row>
    <row r="131" spans="5:15" ht="12.75">
      <c r="E131" s="2" t="s">
        <v>717</v>
      </c>
      <c r="F131" s="28">
        <f>SUM(F126:F130)</f>
        <v>7518.45238095238</v>
      </c>
      <c r="L131" s="13"/>
      <c r="M131" s="13"/>
      <c r="N131" s="13"/>
      <c r="O131" s="13"/>
    </row>
    <row r="132" spans="12:15" ht="12.75">
      <c r="L132" s="13"/>
      <c r="M132" s="13"/>
      <c r="N132" s="13"/>
      <c r="O132" s="13"/>
    </row>
    <row r="133" spans="1:15" ht="12.75">
      <c r="A133" t="s">
        <v>958</v>
      </c>
      <c r="F133" s="15">
        <f>(PRODUCTION!B120)</f>
        <v>249.78614200171089</v>
      </c>
      <c r="J133" s="13"/>
      <c r="L133" s="13"/>
      <c r="M133" s="13"/>
      <c r="N133" s="13"/>
      <c r="O133" s="13"/>
    </row>
    <row r="134" spans="1:15" ht="12.75">
      <c r="A134" t="s">
        <v>959</v>
      </c>
      <c r="F134" s="120">
        <f>INT(PRODUCTION!B134)</f>
        <v>1981</v>
      </c>
      <c r="G134" s="117"/>
      <c r="H134" s="117"/>
      <c r="I134" s="117"/>
      <c r="J134" s="117"/>
      <c r="K134" s="116"/>
      <c r="L134" s="117"/>
      <c r="M134" s="117"/>
      <c r="N134" s="13"/>
      <c r="O134" s="13"/>
    </row>
    <row r="135" spans="1:15" ht="12.75">
      <c r="A135" t="s">
        <v>0</v>
      </c>
      <c r="F135" s="120">
        <f>(PRODUCTION!B135)</f>
        <v>1931</v>
      </c>
      <c r="G135" s="117"/>
      <c r="H135" s="117"/>
      <c r="I135" s="117"/>
      <c r="J135" s="117"/>
      <c r="K135" s="116"/>
      <c r="L135" s="117"/>
      <c r="M135" s="117"/>
      <c r="N135" s="14"/>
      <c r="O135" s="14"/>
    </row>
    <row r="136" spans="1:15" ht="12.75">
      <c r="A136" t="s">
        <v>1</v>
      </c>
      <c r="F136" s="154">
        <f>(F131/G103)</f>
        <v>14.418949771689496</v>
      </c>
      <c r="G136" s="117"/>
      <c r="H136" s="117"/>
      <c r="I136" s="117"/>
      <c r="J136" s="117"/>
      <c r="K136" s="116"/>
      <c r="L136" s="117"/>
      <c r="M136" s="117"/>
      <c r="N136" s="13"/>
      <c r="O136" s="13"/>
    </row>
    <row r="137" spans="1:15" ht="12.75">
      <c r="A137" t="s">
        <v>2</v>
      </c>
      <c r="F137" s="154">
        <f>(F131/F133)</f>
        <v>30.09955764840182</v>
      </c>
      <c r="J137" s="13"/>
      <c r="L137" s="13"/>
      <c r="M137" s="13"/>
      <c r="N137" s="13"/>
      <c r="O137" s="13"/>
    </row>
    <row r="138" spans="1:15" ht="12.75">
      <c r="A138" t="s">
        <v>715</v>
      </c>
      <c r="F138" s="19">
        <f>(F131/F134)</f>
        <v>3.795281363428763</v>
      </c>
      <c r="J138" s="13"/>
      <c r="L138" s="13"/>
      <c r="M138" s="13"/>
      <c r="N138" s="13"/>
      <c r="O138" s="13"/>
    </row>
    <row r="139" spans="1:15" ht="12.75">
      <c r="A139" t="s">
        <v>716</v>
      </c>
      <c r="F139" s="19">
        <f>F131/F135</f>
        <v>3.8935537964538476</v>
      </c>
      <c r="J139" s="13"/>
      <c r="L139" s="13"/>
      <c r="M139" s="13"/>
      <c r="N139" s="13"/>
      <c r="O139" s="13"/>
    </row>
    <row r="140" spans="1:15" ht="12.75">
      <c r="A140" s="23"/>
      <c r="B140" s="23"/>
      <c r="C140" s="23"/>
      <c r="D140" s="23"/>
      <c r="E140" s="23"/>
      <c r="F140" s="25"/>
      <c r="G140" s="25"/>
      <c r="H140" s="25"/>
      <c r="I140" s="25"/>
      <c r="J140" s="25"/>
      <c r="L140" s="14"/>
      <c r="M140" s="14"/>
      <c r="N140" s="14"/>
      <c r="O140" s="14"/>
    </row>
    <row r="141" spans="1:15" ht="15.75">
      <c r="A141" s="303" t="s">
        <v>689</v>
      </c>
      <c r="B141" s="297"/>
      <c r="C141" s="297"/>
      <c r="D141" s="297"/>
      <c r="E141" s="297"/>
      <c r="F141" s="297"/>
      <c r="G141" s="297"/>
      <c r="H141" s="297"/>
      <c r="I141" s="297"/>
      <c r="J141" s="297"/>
      <c r="L141" s="14"/>
      <c r="M141" s="14"/>
      <c r="N141" s="14"/>
      <c r="O141" s="14"/>
    </row>
    <row r="142" spans="1:15" ht="15.75">
      <c r="A142" s="303" t="s">
        <v>690</v>
      </c>
      <c r="B142" s="297"/>
      <c r="C142" s="297"/>
      <c r="D142" s="297"/>
      <c r="E142" s="297"/>
      <c r="F142" s="297"/>
      <c r="G142" s="297"/>
      <c r="H142" s="297"/>
      <c r="I142" s="297"/>
      <c r="J142" s="297"/>
      <c r="L142" s="14"/>
      <c r="M142" s="14"/>
      <c r="N142" s="14"/>
      <c r="O142" s="14"/>
    </row>
    <row r="143" spans="1:15" ht="12.75">
      <c r="A143" s="23"/>
      <c r="B143" s="23"/>
      <c r="C143" s="23"/>
      <c r="D143" s="23"/>
      <c r="E143" s="23"/>
      <c r="F143" s="25"/>
      <c r="G143" s="25"/>
      <c r="H143" s="25"/>
      <c r="I143" s="25"/>
      <c r="J143" s="25"/>
      <c r="L143" s="14"/>
      <c r="M143" s="14"/>
      <c r="N143" s="14"/>
      <c r="O143" s="14"/>
    </row>
    <row r="144" spans="1:15" ht="12.75">
      <c r="A144" s="26"/>
      <c r="B144" s="4" t="s">
        <v>751</v>
      </c>
      <c r="G144" s="117"/>
      <c r="H144" s="117"/>
      <c r="I144" s="117"/>
      <c r="J144" s="117"/>
      <c r="L144" s="14"/>
      <c r="M144" s="14"/>
      <c r="N144" s="14"/>
      <c r="O144" s="14"/>
    </row>
    <row r="145" spans="1:15" ht="12.75">
      <c r="A145" s="66">
        <v>250</v>
      </c>
      <c r="B145" t="s">
        <v>516</v>
      </c>
      <c r="F145" s="117"/>
      <c r="G145" s="117"/>
      <c r="H145" s="117"/>
      <c r="I145" s="117"/>
      <c r="J145" s="117"/>
      <c r="L145" s="14"/>
      <c r="M145" s="14"/>
      <c r="N145" s="14"/>
      <c r="O145" s="14"/>
    </row>
    <row r="146" spans="1:15" ht="12.75">
      <c r="A146" s="82">
        <v>0.28</v>
      </c>
      <c r="B146" t="s">
        <v>815</v>
      </c>
      <c r="F146" s="117"/>
      <c r="G146" s="117"/>
      <c r="H146" s="117"/>
      <c r="I146" s="117"/>
      <c r="J146" s="117"/>
      <c r="L146" s="14"/>
      <c r="M146" s="14"/>
      <c r="N146" s="14"/>
      <c r="O146" s="14"/>
    </row>
    <row r="147" spans="1:15" ht="12.75">
      <c r="A147" s="72">
        <v>0.87</v>
      </c>
      <c r="B147" t="s">
        <v>3</v>
      </c>
      <c r="F147" s="117"/>
      <c r="G147" s="117"/>
      <c r="H147" s="117"/>
      <c r="I147" s="117"/>
      <c r="J147" s="117"/>
      <c r="L147" s="14"/>
      <c r="M147" s="14"/>
      <c r="N147" s="14"/>
      <c r="O147" s="14"/>
    </row>
    <row r="148" spans="1:15" ht="12.75">
      <c r="A148" s="157">
        <f>(PRODUCTION!B17)</f>
        <v>0.835</v>
      </c>
      <c r="B148" t="s">
        <v>772</v>
      </c>
      <c r="F148" s="117"/>
      <c r="G148" s="117"/>
      <c r="H148" s="117"/>
      <c r="I148" s="117"/>
      <c r="J148" s="117"/>
      <c r="L148" s="14"/>
      <c r="M148" s="14"/>
      <c r="N148" s="14"/>
      <c r="O148" s="14"/>
    </row>
    <row r="149" spans="1:15" ht="12.75">
      <c r="A149" s="66">
        <v>10.9</v>
      </c>
      <c r="B149" t="s">
        <v>4</v>
      </c>
      <c r="F149" s="117"/>
      <c r="G149" s="117"/>
      <c r="H149" s="117"/>
      <c r="I149" s="117"/>
      <c r="J149" s="117"/>
      <c r="L149" s="14"/>
      <c r="M149" s="14"/>
      <c r="N149" s="14"/>
      <c r="O149" s="14"/>
    </row>
    <row r="150" spans="1:15" ht="12.75">
      <c r="A150" s="161">
        <f>PRODUCTION!B128</f>
        <v>10.44</v>
      </c>
      <c r="B150" t="s">
        <v>804</v>
      </c>
      <c r="F150" s="117"/>
      <c r="G150" s="117"/>
      <c r="H150" s="117"/>
      <c r="I150" s="117"/>
      <c r="J150" s="117"/>
      <c r="L150" s="14"/>
      <c r="M150" s="14"/>
      <c r="N150" s="14"/>
      <c r="O150" s="14"/>
    </row>
    <row r="151" spans="1:15" ht="12.75">
      <c r="A151" s="157">
        <f>PRODUCTION!B13</f>
        <v>0.91</v>
      </c>
      <c r="B151" t="s">
        <v>9</v>
      </c>
      <c r="F151" s="117"/>
      <c r="G151" s="117"/>
      <c r="H151" s="117"/>
      <c r="I151" s="117"/>
      <c r="J151" s="117"/>
      <c r="L151" s="14"/>
      <c r="M151" s="14"/>
      <c r="N151" s="14"/>
      <c r="O151" s="14"/>
    </row>
    <row r="152" spans="1:15" ht="12.75">
      <c r="A152" s="201">
        <v>4</v>
      </c>
      <c r="B152" t="s">
        <v>816</v>
      </c>
      <c r="F152" s="117"/>
      <c r="G152" s="117"/>
      <c r="H152" s="117"/>
      <c r="I152" s="117"/>
      <c r="J152" s="117"/>
      <c r="L152" s="14"/>
      <c r="M152" s="14"/>
      <c r="N152" s="14"/>
      <c r="O152" s="14"/>
    </row>
    <row r="153" spans="1:15" ht="12.75">
      <c r="A153" s="117"/>
      <c r="F153" s="117"/>
      <c r="G153" s="117"/>
      <c r="H153" s="117"/>
      <c r="I153" s="117"/>
      <c r="J153" s="117"/>
      <c r="L153" s="14"/>
      <c r="M153" s="14"/>
      <c r="N153" s="14"/>
      <c r="O153" s="14"/>
    </row>
    <row r="154" spans="1:15" ht="12.75">
      <c r="A154" s="117"/>
      <c r="B154" s="4" t="s">
        <v>837</v>
      </c>
      <c r="F154" s="117"/>
      <c r="G154" s="117"/>
      <c r="H154" s="117"/>
      <c r="I154" s="117"/>
      <c r="J154" s="117"/>
      <c r="L154" s="14"/>
      <c r="M154" s="14"/>
      <c r="N154" s="14"/>
      <c r="O154" s="14"/>
    </row>
    <row r="155" spans="1:15" ht="12.75">
      <c r="A155" s="117"/>
      <c r="B155" s="122"/>
      <c r="F155" s="117"/>
      <c r="G155" s="117"/>
      <c r="H155" s="117"/>
      <c r="I155" s="117"/>
      <c r="J155" s="117"/>
      <c r="L155" s="14"/>
      <c r="M155" s="14"/>
      <c r="N155" s="14"/>
      <c r="O155" s="14"/>
    </row>
    <row r="156" spans="1:15" ht="12.75">
      <c r="A156" s="118" t="s">
        <v>479</v>
      </c>
      <c r="B156" s="4" t="s">
        <v>10</v>
      </c>
      <c r="F156" s="117"/>
      <c r="H156" s="118" t="s">
        <v>22</v>
      </c>
      <c r="I156" s="122" t="s">
        <v>455</v>
      </c>
      <c r="J156" s="117"/>
      <c r="L156" s="14"/>
      <c r="M156" s="14"/>
      <c r="N156" s="14"/>
      <c r="O156" s="14"/>
    </row>
    <row r="157" spans="1:15" ht="12.75">
      <c r="A157" s="119">
        <f>(PRODUCTION!B17)</f>
        <v>0.835</v>
      </c>
      <c r="B157" t="s">
        <v>11</v>
      </c>
      <c r="F157" s="117"/>
      <c r="G157" s="117"/>
      <c r="H157" s="119">
        <f>A147</f>
        <v>0.87</v>
      </c>
      <c r="I157" s="123">
        <f aca="true" t="shared" si="25" ref="I157:I164">H157-A157</f>
        <v>0.03500000000000003</v>
      </c>
      <c r="J157" s="117"/>
      <c r="L157" s="14"/>
      <c r="M157" s="14"/>
      <c r="N157" s="14"/>
      <c r="O157" s="14"/>
    </row>
    <row r="158" spans="1:15" ht="12.75">
      <c r="A158" s="119">
        <f>(PRODUCTION!B14)</f>
        <v>0.975</v>
      </c>
      <c r="B158" t="s">
        <v>12</v>
      </c>
      <c r="F158" s="117"/>
      <c r="G158" s="117"/>
      <c r="H158" s="119">
        <f>A158</f>
        <v>0.975</v>
      </c>
      <c r="I158" s="123">
        <f t="shared" si="25"/>
        <v>0</v>
      </c>
      <c r="J158" s="117"/>
      <c r="L158" s="14"/>
      <c r="M158" s="14"/>
      <c r="N158" s="14"/>
      <c r="O158" s="14"/>
    </row>
    <row r="159" spans="1:15" ht="12.75">
      <c r="A159" s="15">
        <f>F133</f>
        <v>249.78614200171089</v>
      </c>
      <c r="B159" t="s">
        <v>710</v>
      </c>
      <c r="F159" s="117"/>
      <c r="G159" s="117"/>
      <c r="H159" s="120">
        <f>F$133</f>
        <v>249.78614200171089</v>
      </c>
      <c r="I159" s="120">
        <f t="shared" si="25"/>
        <v>0</v>
      </c>
      <c r="J159" s="117"/>
      <c r="L159" s="14"/>
      <c r="M159" s="14"/>
      <c r="N159" s="14"/>
      <c r="O159" s="14"/>
    </row>
    <row r="160" spans="1:15" ht="12.75">
      <c r="A160" s="15">
        <f>(PRODUCTION!B126)</f>
        <v>208.57142857142858</v>
      </c>
      <c r="B160" t="s">
        <v>13</v>
      </c>
      <c r="F160" s="117"/>
      <c r="H160" s="120">
        <f>(H$159*A$147)</f>
        <v>217.31394354148847</v>
      </c>
      <c r="I160" s="120">
        <f t="shared" si="25"/>
        <v>8.742514970059887</v>
      </c>
      <c r="J160" s="117"/>
      <c r="L160" s="14"/>
      <c r="M160" s="14"/>
      <c r="N160" s="14"/>
      <c r="O160" s="14"/>
    </row>
    <row r="161" spans="1:15" ht="12.75">
      <c r="A161" s="15">
        <f>INT(PRODUCTION!B134)</f>
        <v>1981</v>
      </c>
      <c r="B161" t="s">
        <v>14</v>
      </c>
      <c r="F161" s="117"/>
      <c r="H161" s="120">
        <f>(H$160*A$150*A$151)</f>
        <v>2064.5693892215572</v>
      </c>
      <c r="I161" s="120">
        <f t="shared" si="25"/>
        <v>83.56938922155723</v>
      </c>
      <c r="J161" s="117"/>
      <c r="L161" s="14"/>
      <c r="M161" s="14"/>
      <c r="N161" s="14"/>
      <c r="O161" s="14"/>
    </row>
    <row r="162" spans="1:15" ht="12.75">
      <c r="A162" s="15">
        <f>(PRODUCTION!B135)</f>
        <v>1931</v>
      </c>
      <c r="B162" t="s">
        <v>15</v>
      </c>
      <c r="F162" s="117"/>
      <c r="H162" s="120">
        <f>H$161*A$158</f>
        <v>2012.9551544910182</v>
      </c>
      <c r="I162" s="120">
        <f t="shared" si="25"/>
        <v>81.95515449101822</v>
      </c>
      <c r="J162" s="117"/>
      <c r="L162" s="14"/>
      <c r="M162" s="14"/>
      <c r="N162" s="14"/>
      <c r="O162" s="14"/>
    </row>
    <row r="163" spans="1:15" ht="12.75">
      <c r="A163" s="27">
        <f>(A$162*A$145*A$146)+(A162*A152)</f>
        <v>142894</v>
      </c>
      <c r="B163" t="s">
        <v>16</v>
      </c>
      <c r="F163" s="117"/>
      <c r="H163" s="121">
        <f>(H$162*A$145*A$146)+(H162*A152)</f>
        <v>148958.68143233538</v>
      </c>
      <c r="I163" s="121">
        <f t="shared" si="25"/>
        <v>6064.681432335376</v>
      </c>
      <c r="J163" s="117"/>
      <c r="L163" s="14"/>
      <c r="M163" s="14"/>
      <c r="N163" s="14"/>
      <c r="O163" s="14"/>
    </row>
    <row r="164" spans="1:15" ht="12.75">
      <c r="A164" s="27">
        <f>A163-(OnFarmStud!D334)</f>
        <v>137887.70027278826</v>
      </c>
      <c r="B164" t="s">
        <v>432</v>
      </c>
      <c r="F164" s="117"/>
      <c r="H164" s="121">
        <f>H$163-F$131</f>
        <v>141440.229051383</v>
      </c>
      <c r="I164" s="121">
        <f t="shared" si="25"/>
        <v>3552.528778594744</v>
      </c>
      <c r="J164" s="117"/>
      <c r="L164" s="14"/>
      <c r="M164" s="14"/>
      <c r="N164" s="14"/>
      <c r="O164" s="14"/>
    </row>
    <row r="165" spans="1:15" ht="12.75">
      <c r="A165" s="13"/>
      <c r="F165" s="117"/>
      <c r="H165" s="117"/>
      <c r="I165" s="117"/>
      <c r="J165" s="117"/>
      <c r="L165" s="14"/>
      <c r="M165" s="14"/>
      <c r="N165" s="14"/>
      <c r="O165" s="14"/>
    </row>
    <row r="166" spans="1:15" ht="12.75">
      <c r="A166" s="118" t="s">
        <v>479</v>
      </c>
      <c r="B166" s="4" t="s">
        <v>18</v>
      </c>
      <c r="F166" s="117"/>
      <c r="H166" s="118" t="s">
        <v>22</v>
      </c>
      <c r="I166" s="122" t="s">
        <v>455</v>
      </c>
      <c r="J166" s="117"/>
      <c r="L166" s="14"/>
      <c r="M166" s="14"/>
      <c r="N166" s="14"/>
      <c r="O166" s="14"/>
    </row>
    <row r="167" spans="1:15" ht="12.75">
      <c r="A167" s="15">
        <f>A160</f>
        <v>208.57142857142858</v>
      </c>
      <c r="B167" t="s">
        <v>13</v>
      </c>
      <c r="F167" s="117"/>
      <c r="H167" s="120">
        <f>A160</f>
        <v>208.57142857142858</v>
      </c>
      <c r="I167" s="162">
        <f>H167-A167</f>
        <v>0</v>
      </c>
      <c r="J167" s="117"/>
      <c r="L167" s="14"/>
      <c r="M167" s="14"/>
      <c r="N167" s="14"/>
      <c r="O167" s="14"/>
    </row>
    <row r="168" spans="1:15" ht="12.75">
      <c r="A168" s="13">
        <f>A161</f>
        <v>1981</v>
      </c>
      <c r="B168" t="s">
        <v>14</v>
      </c>
      <c r="F168" s="117"/>
      <c r="H168" s="120">
        <f>(H167*A149*A151)</f>
        <v>2068.82</v>
      </c>
      <c r="I168" s="162">
        <f>H168-A168</f>
        <v>87.82000000000016</v>
      </c>
      <c r="J168" s="117"/>
      <c r="L168" s="14"/>
      <c r="M168" s="14"/>
      <c r="N168" s="14"/>
      <c r="O168" s="14"/>
    </row>
    <row r="169" spans="1:15" ht="12.75">
      <c r="A169" s="15">
        <f>A162</f>
        <v>1931</v>
      </c>
      <c r="B169" t="s">
        <v>15</v>
      </c>
      <c r="F169" s="117"/>
      <c r="H169" s="120">
        <f>(H168*A158)</f>
        <v>2017.0995</v>
      </c>
      <c r="I169" s="162">
        <f>H169-A169</f>
        <v>86.09950000000003</v>
      </c>
      <c r="J169" s="117"/>
      <c r="L169" s="14"/>
      <c r="M169" s="14"/>
      <c r="N169" s="14"/>
      <c r="O169" s="14"/>
    </row>
    <row r="170" spans="1:15" ht="12.75">
      <c r="A170" s="27">
        <f>A163</f>
        <v>142894</v>
      </c>
      <c r="B170" t="s">
        <v>16</v>
      </c>
      <c r="F170" s="117"/>
      <c r="H170" s="121">
        <f>(H$169*A$145*A$146)+(H169*A152)</f>
        <v>149265.363</v>
      </c>
      <c r="I170" s="121">
        <f>H170-A170</f>
        <v>6371.363000000012</v>
      </c>
      <c r="J170" s="117"/>
      <c r="L170" s="14"/>
      <c r="M170" s="14"/>
      <c r="N170" s="14"/>
      <c r="O170" s="14"/>
    </row>
    <row r="171" spans="1:15" ht="12.75">
      <c r="A171" s="27">
        <f>A164</f>
        <v>137887.70027278826</v>
      </c>
      <c r="B171" t="s">
        <v>17</v>
      </c>
      <c r="F171" s="117"/>
      <c r="H171" s="121">
        <f>H170-F131</f>
        <v>141746.91061904765</v>
      </c>
      <c r="I171" s="134">
        <f>H171-A171</f>
        <v>3859.2103462593805</v>
      </c>
      <c r="J171" s="117"/>
      <c r="L171" s="14"/>
      <c r="M171" s="14"/>
      <c r="N171" s="14"/>
      <c r="O171" s="14"/>
    </row>
    <row r="172" spans="1:15" ht="12.75">
      <c r="A172" s="13"/>
      <c r="F172" s="117"/>
      <c r="H172" s="117"/>
      <c r="I172" s="117"/>
      <c r="J172" s="117"/>
      <c r="L172" s="14"/>
      <c r="M172" s="14"/>
      <c r="N172" s="14"/>
      <c r="O172" s="14"/>
    </row>
    <row r="173" spans="1:15" ht="12.75">
      <c r="A173" s="118" t="s">
        <v>479</v>
      </c>
      <c r="B173" s="4" t="s">
        <v>19</v>
      </c>
      <c r="F173" s="117"/>
      <c r="H173" s="118" t="s">
        <v>22</v>
      </c>
      <c r="I173" s="122" t="s">
        <v>455</v>
      </c>
      <c r="J173" s="117"/>
      <c r="L173" s="14"/>
      <c r="M173" s="14"/>
      <c r="N173" s="14"/>
      <c r="O173" s="14"/>
    </row>
    <row r="174" spans="1:15" ht="12.75">
      <c r="A174" s="15">
        <f>F133</f>
        <v>249.78614200171089</v>
      </c>
      <c r="B174" t="s">
        <v>710</v>
      </c>
      <c r="F174" s="117"/>
      <c r="H174" s="120">
        <f>F$133</f>
        <v>249.78614200171089</v>
      </c>
      <c r="I174" s="120">
        <f aca="true" t="shared" si="26" ref="I174:I179">H174-A174</f>
        <v>0</v>
      </c>
      <c r="J174" s="117"/>
      <c r="L174" s="14"/>
      <c r="M174" s="14"/>
      <c r="N174" s="14"/>
      <c r="O174" s="14"/>
    </row>
    <row r="175" spans="1:15" ht="12.75">
      <c r="A175" s="15">
        <f>(A159*A148)</f>
        <v>208.57142857142858</v>
      </c>
      <c r="B175" t="s">
        <v>13</v>
      </c>
      <c r="F175" s="117"/>
      <c r="H175" s="120">
        <f>(H$159*A$147)</f>
        <v>217.31394354148847</v>
      </c>
      <c r="I175" s="120">
        <f t="shared" si="26"/>
        <v>8.742514970059887</v>
      </c>
      <c r="J175" s="117"/>
      <c r="L175" s="14"/>
      <c r="M175" s="14"/>
      <c r="N175" s="14"/>
      <c r="O175" s="14"/>
    </row>
    <row r="176" spans="1:15" ht="12.75">
      <c r="A176" s="15">
        <f>INT(PRODUCTION!B134)</f>
        <v>1981</v>
      </c>
      <c r="B176" t="s">
        <v>14</v>
      </c>
      <c r="F176" s="117"/>
      <c r="H176" s="120">
        <f>(H$175*A$149*A$151)</f>
        <v>2155.5370059880242</v>
      </c>
      <c r="I176" s="120">
        <f t="shared" si="26"/>
        <v>174.53700598802425</v>
      </c>
      <c r="J176" s="117"/>
      <c r="L176" s="14"/>
      <c r="M176" s="14"/>
      <c r="N176" s="14"/>
      <c r="O176" s="14"/>
    </row>
    <row r="177" spans="1:15" ht="12.75">
      <c r="A177" s="15">
        <f>A$161*A$158</f>
        <v>1931.475</v>
      </c>
      <c r="B177" t="s">
        <v>15</v>
      </c>
      <c r="F177" s="117"/>
      <c r="H177" s="120">
        <f>H$176*A$158</f>
        <v>2101.6485808383236</v>
      </c>
      <c r="I177" s="120">
        <f t="shared" si="26"/>
        <v>170.1735808383237</v>
      </c>
      <c r="J177" s="117"/>
      <c r="L177" s="14"/>
      <c r="M177" s="14"/>
      <c r="N177" s="14"/>
      <c r="O177" s="14"/>
    </row>
    <row r="178" spans="1:15" ht="12.75">
      <c r="A178" s="27">
        <f>A163</f>
        <v>142894</v>
      </c>
      <c r="B178" t="s">
        <v>16</v>
      </c>
      <c r="F178" s="117"/>
      <c r="H178" s="121">
        <f>(H$177*A$145*A$146)+(H177*A152)</f>
        <v>155521.99498203595</v>
      </c>
      <c r="I178" s="121">
        <f t="shared" si="26"/>
        <v>12627.994982035947</v>
      </c>
      <c r="J178" s="117"/>
      <c r="L178" s="14"/>
      <c r="M178" s="14"/>
      <c r="N178" s="14"/>
      <c r="O178" s="14"/>
    </row>
    <row r="179" spans="1:15" ht="12.75">
      <c r="A179" s="27">
        <f>A164</f>
        <v>137887.70027278826</v>
      </c>
      <c r="B179" t="s">
        <v>432</v>
      </c>
      <c r="F179" s="117"/>
      <c r="H179" s="121">
        <f>H$178-F$131</f>
        <v>148003.54260108358</v>
      </c>
      <c r="I179" s="134">
        <f t="shared" si="26"/>
        <v>10115.842328295315</v>
      </c>
      <c r="J179" s="117"/>
      <c r="L179" s="14"/>
      <c r="M179" s="14"/>
      <c r="N179" s="14"/>
      <c r="O179" s="14"/>
    </row>
    <row r="180" spans="1:15" ht="12.75">
      <c r="A180" s="23"/>
      <c r="B180" s="23"/>
      <c r="C180" s="23"/>
      <c r="D180" s="23"/>
      <c r="E180" s="23"/>
      <c r="F180" s="25"/>
      <c r="G180" s="25"/>
      <c r="H180" s="129"/>
      <c r="I180" s="129"/>
      <c r="J180" s="129"/>
      <c r="L180" s="13"/>
      <c r="M180" s="13"/>
      <c r="N180" s="13"/>
      <c r="O180" s="13"/>
    </row>
    <row r="181" spans="1:15" ht="12.75">
      <c r="A181" t="s">
        <v>691</v>
      </c>
      <c r="G181" s="14"/>
      <c r="H181" s="117"/>
      <c r="I181" s="117"/>
      <c r="J181" s="117"/>
      <c r="L181" s="13"/>
      <c r="M181" s="13"/>
      <c r="N181" s="13"/>
      <c r="O181" s="13"/>
    </row>
    <row r="182" spans="8:15" ht="12.75">
      <c r="H182" s="117"/>
      <c r="I182" s="117"/>
      <c r="J182" s="13"/>
      <c r="L182" s="13"/>
      <c r="M182" s="13"/>
      <c r="N182" s="13"/>
      <c r="O182" s="13"/>
    </row>
    <row r="183" spans="8:15" ht="12.75">
      <c r="H183" s="117"/>
      <c r="I183" s="117"/>
      <c r="J183" s="13"/>
      <c r="L183" s="13"/>
      <c r="M183" s="13"/>
      <c r="N183" s="13"/>
      <c r="O183" s="13"/>
    </row>
    <row r="184" spans="8:15" ht="12.75">
      <c r="H184" s="117"/>
      <c r="I184" s="117"/>
      <c r="J184" s="13"/>
      <c r="L184" s="13"/>
      <c r="M184" s="13"/>
      <c r="N184" s="13"/>
      <c r="O184" s="13"/>
    </row>
    <row r="185" spans="8:15" ht="12.75">
      <c r="H185" s="117"/>
      <c r="I185" s="117"/>
      <c r="J185" s="13"/>
      <c r="L185" s="13"/>
      <c r="M185" s="13"/>
      <c r="N185" s="13"/>
      <c r="O185" s="13"/>
    </row>
    <row r="186" spans="8:15" ht="12.75">
      <c r="H186" s="117"/>
      <c r="I186" s="117"/>
      <c r="J186" s="13"/>
      <c r="L186" s="13"/>
      <c r="M186" s="13"/>
      <c r="N186" s="13"/>
      <c r="O186" s="13"/>
    </row>
    <row r="187" spans="7:15" ht="12.75">
      <c r="G187" s="14"/>
      <c r="H187" s="117"/>
      <c r="I187" s="117"/>
      <c r="J187" s="14"/>
      <c r="L187" s="13"/>
      <c r="M187" s="13"/>
      <c r="N187" s="13"/>
      <c r="O187" s="13"/>
    </row>
    <row r="188" spans="7:15" ht="12.75">
      <c r="G188" s="14"/>
      <c r="H188" s="117"/>
      <c r="I188" s="117"/>
      <c r="J188" s="14"/>
      <c r="L188" s="13"/>
      <c r="M188" s="13"/>
      <c r="N188" s="13"/>
      <c r="O188" s="13"/>
    </row>
    <row r="189" spans="8:15" ht="12.75">
      <c r="H189" s="117"/>
      <c r="I189" s="117"/>
      <c r="J189" s="13"/>
      <c r="L189" s="13"/>
      <c r="M189" s="13"/>
      <c r="N189" s="13"/>
      <c r="O189" s="13"/>
    </row>
    <row r="190" spans="10:15" ht="12.75">
      <c r="J190" s="13"/>
      <c r="L190" s="13"/>
      <c r="M190" s="13"/>
      <c r="N190" s="13"/>
      <c r="O190" s="13"/>
    </row>
    <row r="191" spans="10:15" ht="12.75">
      <c r="J191" s="13"/>
      <c r="L191" s="13"/>
      <c r="M191" s="13"/>
      <c r="N191" s="13"/>
      <c r="O191" s="13"/>
    </row>
    <row r="192" spans="10:15" ht="12.75">
      <c r="J192" s="13"/>
      <c r="L192" s="13"/>
      <c r="M192" s="13"/>
      <c r="N192" s="13"/>
      <c r="O192" s="13"/>
    </row>
    <row r="193" spans="10:15" ht="12.75">
      <c r="J193" s="13"/>
      <c r="L193" s="13"/>
      <c r="M193" s="13"/>
      <c r="N193" s="13"/>
      <c r="O193" s="13"/>
    </row>
    <row r="194" spans="10:15" ht="12.75">
      <c r="J194" s="13"/>
      <c r="L194" s="13"/>
      <c r="M194" s="13"/>
      <c r="N194" s="13"/>
      <c r="O194" s="13"/>
    </row>
    <row r="195" spans="10:15" ht="12.75">
      <c r="J195" s="13"/>
      <c r="L195" s="13"/>
      <c r="M195" s="13"/>
      <c r="N195" s="13"/>
      <c r="O195" s="13"/>
    </row>
    <row r="196" spans="10:15" ht="12.75">
      <c r="J196" s="13"/>
      <c r="L196" s="13"/>
      <c r="M196" s="13"/>
      <c r="N196" s="13"/>
      <c r="O196" s="13"/>
    </row>
    <row r="197" spans="10:15" ht="12.75">
      <c r="J197" s="13"/>
      <c r="L197" s="13"/>
      <c r="M197" s="13"/>
      <c r="N197" s="13"/>
      <c r="O197" s="13"/>
    </row>
    <row r="198" spans="10:15" ht="12.75">
      <c r="J198" s="13"/>
      <c r="L198" s="13"/>
      <c r="M198" s="13"/>
      <c r="N198" s="13"/>
      <c r="O198" s="13"/>
    </row>
    <row r="199" spans="10:15" ht="12.75">
      <c r="J199" s="13"/>
      <c r="L199" s="13"/>
      <c r="M199" s="13"/>
      <c r="N199" s="13"/>
      <c r="O199" s="13"/>
    </row>
    <row r="200" spans="10:15" ht="12.75">
      <c r="J200" s="13"/>
      <c r="L200" s="13"/>
      <c r="M200" s="13"/>
      <c r="N200" s="13"/>
      <c r="O200" s="13"/>
    </row>
    <row r="201" spans="10:15" ht="12.75">
      <c r="J201" s="13"/>
      <c r="L201" s="13"/>
      <c r="M201" s="13"/>
      <c r="N201" s="13"/>
      <c r="O201" s="13"/>
    </row>
    <row r="202" spans="10:15" ht="12.75">
      <c r="J202" s="13"/>
      <c r="L202" s="13"/>
      <c r="M202" s="13"/>
      <c r="N202" s="13"/>
      <c r="O202" s="13"/>
    </row>
    <row r="203" spans="10:15" ht="12.75">
      <c r="J203" s="13"/>
      <c r="L203" s="13"/>
      <c r="M203" s="13"/>
      <c r="N203" s="13"/>
      <c r="O203" s="13"/>
    </row>
    <row r="204" spans="10:15" ht="12.75">
      <c r="J204" s="13"/>
      <c r="L204" s="13"/>
      <c r="M204" s="13"/>
      <c r="N204" s="13"/>
      <c r="O204" s="13"/>
    </row>
    <row r="205" spans="10:15" ht="12.75">
      <c r="J205" s="13"/>
      <c r="L205" s="13"/>
      <c r="M205" s="13"/>
      <c r="N205" s="13"/>
      <c r="O205" s="13"/>
    </row>
    <row r="206" spans="10:15" ht="12.75">
      <c r="J206" s="13"/>
      <c r="L206" s="13"/>
      <c r="M206" s="13"/>
      <c r="N206" s="13"/>
      <c r="O206" s="13"/>
    </row>
    <row r="207" spans="10:15" ht="12.75">
      <c r="J207" s="13"/>
      <c r="L207" s="13"/>
      <c r="M207" s="13"/>
      <c r="N207" s="13"/>
      <c r="O207" s="13"/>
    </row>
    <row r="208" spans="10:15" ht="12.75">
      <c r="J208" s="13"/>
      <c r="L208" s="13"/>
      <c r="M208" s="13"/>
      <c r="N208" s="13"/>
      <c r="O208" s="13"/>
    </row>
    <row r="209" spans="10:15" ht="12.75">
      <c r="J209" s="13"/>
      <c r="L209" s="13"/>
      <c r="M209" s="13"/>
      <c r="N209" s="13"/>
      <c r="O209" s="13"/>
    </row>
    <row r="210" spans="10:15" ht="12.75">
      <c r="J210" s="13"/>
      <c r="L210" s="13"/>
      <c r="M210" s="13"/>
      <c r="N210" s="13"/>
      <c r="O210" s="13"/>
    </row>
    <row r="211" spans="10:15" ht="12.75">
      <c r="J211" s="13"/>
      <c r="L211" s="13"/>
      <c r="M211" s="13"/>
      <c r="N211" s="13"/>
      <c r="O211" s="13"/>
    </row>
    <row r="212" spans="10:15" ht="12.75">
      <c r="J212" s="13"/>
      <c r="L212" s="13"/>
      <c r="M212" s="13"/>
      <c r="N212" s="13"/>
      <c r="O212" s="13"/>
    </row>
    <row r="213" spans="10:15" ht="12.75">
      <c r="J213" s="13"/>
      <c r="L213" s="13"/>
      <c r="M213" s="13"/>
      <c r="N213" s="13"/>
      <c r="O213" s="13"/>
    </row>
    <row r="214" spans="10:15" ht="12.75">
      <c r="J214" s="13"/>
      <c r="L214" s="13"/>
      <c r="M214" s="13"/>
      <c r="N214" s="13"/>
      <c r="O214" s="13"/>
    </row>
    <row r="215" spans="10:15" ht="12.75">
      <c r="J215" s="13"/>
      <c r="L215" s="13"/>
      <c r="M215" s="13"/>
      <c r="N215" s="13"/>
      <c r="O215" s="13"/>
    </row>
    <row r="216" spans="10:15" ht="12.75">
      <c r="J216" s="13"/>
      <c r="L216" s="13"/>
      <c r="M216" s="13"/>
      <c r="N216" s="13"/>
      <c r="O216" s="13"/>
    </row>
    <row r="217" spans="10:15" ht="12.75">
      <c r="J217" s="13"/>
      <c r="L217" s="13"/>
      <c r="M217" s="13"/>
      <c r="N217" s="13"/>
      <c r="O217" s="13"/>
    </row>
    <row r="218" ht="12.75">
      <c r="J218" s="13"/>
    </row>
    <row r="219" ht="12.75">
      <c r="J219" s="13"/>
    </row>
    <row r="220" ht="12.75">
      <c r="J220" s="13"/>
    </row>
    <row r="221" ht="12.75">
      <c r="J221" s="13"/>
    </row>
    <row r="222" ht="12.75">
      <c r="J222" s="13"/>
    </row>
    <row r="223" ht="12.75">
      <c r="J223" s="13"/>
    </row>
    <row r="224" ht="12.75">
      <c r="J224" s="13"/>
    </row>
    <row r="225" ht="12.75">
      <c r="J225" s="13"/>
    </row>
    <row r="226" ht="12.75">
      <c r="J226" s="13"/>
    </row>
    <row r="227" ht="12.75">
      <c r="J227" s="13"/>
    </row>
    <row r="228" ht="12.75">
      <c r="J228" s="13"/>
    </row>
    <row r="229" ht="12.75">
      <c r="J229" s="13"/>
    </row>
    <row r="230" ht="12.75">
      <c r="J230" s="13"/>
    </row>
    <row r="231" ht="12.75">
      <c r="J231" s="13"/>
    </row>
    <row r="232" ht="12.75">
      <c r="J232" s="13"/>
    </row>
    <row r="233" ht="12.75">
      <c r="J233" s="13"/>
    </row>
    <row r="234" ht="12.75">
      <c r="J234" s="13"/>
    </row>
    <row r="235" ht="12.75">
      <c r="J235" s="13"/>
    </row>
    <row r="236" ht="12.75">
      <c r="J236" s="13"/>
    </row>
    <row r="237" ht="12.75">
      <c r="J237" s="13"/>
    </row>
    <row r="238" ht="12.75">
      <c r="J238" s="13"/>
    </row>
    <row r="239" ht="12.75">
      <c r="J239" s="13"/>
    </row>
  </sheetData>
  <sheetProtection password="C57E" sheet="1"/>
  <mergeCells count="2">
    <mergeCell ref="A141:J141"/>
    <mergeCell ref="A142:J142"/>
  </mergeCells>
  <printOptions/>
  <pageMargins left="1" right="0.4" top="0.9" bottom="0.833333333333333" header="0.5" footer="0.333333333333333"/>
  <pageSetup horizontalDpi="300" verticalDpi="300" orientation="portrait" scale="82" r:id="rId3"/>
  <headerFooter alignWithMargins="0">
    <oddHeader>&amp;L&amp;"Arial,Bold"&amp;14Estimated Cost of Semen from a Fee-For-Service Boar Stud&amp;RPage &amp;P</oddHeader>
  </headerFooter>
  <rowBreaks count="2" manualBreakCount="2">
    <brk id="60" max="9" man="1"/>
    <brk id="123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44"/>
  <sheetViews>
    <sheetView showOutlineSymbols="0" workbookViewId="0" topLeftCell="A1">
      <selection activeCell="A1" sqref="A1"/>
    </sheetView>
  </sheetViews>
  <sheetFormatPr defaultColWidth="9.140625" defaultRowHeight="12.75"/>
  <cols>
    <col min="1" max="1" width="12.28125" style="13" customWidth="1"/>
    <col min="8" max="8" width="13.57421875" style="13" customWidth="1"/>
    <col min="9" max="9" width="11.28125" style="13" customWidth="1"/>
  </cols>
  <sheetData>
    <row r="1" spans="1:9" ht="12.75">
      <c r="A1" s="34"/>
      <c r="B1" s="36"/>
      <c r="C1" s="36"/>
      <c r="D1" s="36"/>
      <c r="E1" s="36"/>
      <c r="F1" s="36"/>
      <c r="G1" s="36"/>
      <c r="H1" s="34"/>
      <c r="I1" s="34"/>
    </row>
    <row r="2" spans="3:9" ht="12.75">
      <c r="C2" s="4" t="s">
        <v>107</v>
      </c>
      <c r="H2" s="21"/>
      <c r="I2" s="21" t="s">
        <v>109</v>
      </c>
    </row>
    <row r="3" spans="1:9" ht="12.75">
      <c r="A3" s="118" t="s">
        <v>479</v>
      </c>
      <c r="B3" s="38" t="s">
        <v>47</v>
      </c>
      <c r="F3" s="4"/>
      <c r="H3" s="21" t="s">
        <v>108</v>
      </c>
      <c r="I3" s="21" t="s">
        <v>456</v>
      </c>
    </row>
    <row r="4" spans="1:9" ht="12.75">
      <c r="A4" s="117">
        <f>(PRODUCTION!B6)</f>
        <v>365</v>
      </c>
      <c r="B4" t="s">
        <v>48</v>
      </c>
      <c r="H4" s="117">
        <f>A4</f>
        <v>365</v>
      </c>
      <c r="I4" s="15">
        <f aca="true" t="shared" si="0" ref="I4:I10">H4-A4</f>
        <v>0</v>
      </c>
    </row>
    <row r="5" spans="1:9" ht="12.75">
      <c r="A5" s="117">
        <f>(PRODUCTION!B25)</f>
        <v>20</v>
      </c>
      <c r="B5" t="s">
        <v>896</v>
      </c>
      <c r="H5" s="117">
        <f>A5</f>
        <v>20</v>
      </c>
      <c r="I5" s="15">
        <f t="shared" si="0"/>
        <v>0</v>
      </c>
    </row>
    <row r="6" spans="1:9" ht="12.75">
      <c r="A6" s="120">
        <f>(PRODUCTION!B75)</f>
        <v>23.952095808383234</v>
      </c>
      <c r="B6" t="s">
        <v>49</v>
      </c>
      <c r="H6" s="120">
        <f>A6</f>
        <v>23.952095808383234</v>
      </c>
      <c r="I6" s="15">
        <f t="shared" si="0"/>
        <v>0</v>
      </c>
    </row>
    <row r="7" spans="1:9" ht="12.75">
      <c r="A7" s="120">
        <f>(PRODUCTION!B63)</f>
        <v>47.90419161676647</v>
      </c>
      <c r="B7" t="s">
        <v>50</v>
      </c>
      <c r="H7" s="120">
        <f>A7</f>
        <v>47.90419161676647</v>
      </c>
      <c r="I7" s="15">
        <f t="shared" si="0"/>
        <v>0</v>
      </c>
    </row>
    <row r="8" spans="1:9" ht="12.75">
      <c r="A8" s="120">
        <f>(PRODUCTION!B120)</f>
        <v>249.78614200171089</v>
      </c>
      <c r="B8" t="s">
        <v>51</v>
      </c>
      <c r="H8" s="120">
        <f>A8</f>
        <v>249.78614200171089</v>
      </c>
      <c r="I8" s="15">
        <f t="shared" si="0"/>
        <v>0</v>
      </c>
    </row>
    <row r="9" spans="1:9" ht="12.75">
      <c r="A9" s="15">
        <f>INT(OnFarmStud!F113)+1</f>
        <v>500</v>
      </c>
      <c r="B9" t="s">
        <v>52</v>
      </c>
      <c r="H9" s="120">
        <f>(A9)</f>
        <v>500</v>
      </c>
      <c r="I9" s="15">
        <f t="shared" si="0"/>
        <v>0</v>
      </c>
    </row>
    <row r="10" spans="1:9" ht="12.75">
      <c r="A10" s="119">
        <f>(PRODUCTION!B17)</f>
        <v>0.835</v>
      </c>
      <c r="B10" t="s">
        <v>53</v>
      </c>
      <c r="H10" s="72">
        <v>0.87</v>
      </c>
      <c r="I10" s="39">
        <f t="shared" si="0"/>
        <v>0.03500000000000003</v>
      </c>
    </row>
    <row r="11" spans="1:9" ht="12.75">
      <c r="A11" s="120">
        <f>(PRODUCTION!B126)</f>
        <v>208.57142857142858</v>
      </c>
      <c r="B11" t="s">
        <v>6</v>
      </c>
      <c r="H11" s="17">
        <f>H8*H10</f>
        <v>217.31394354148847</v>
      </c>
      <c r="I11" s="15">
        <f aca="true" t="shared" si="1" ref="I11:I63">H11-A11</f>
        <v>8.742514970059887</v>
      </c>
    </row>
    <row r="12" spans="1:9" ht="12.75">
      <c r="A12" s="131">
        <f>(PRODUCTION!B128)</f>
        <v>10.44</v>
      </c>
      <c r="B12" t="s">
        <v>54</v>
      </c>
      <c r="H12" s="67">
        <v>10.95</v>
      </c>
      <c r="I12" s="40">
        <f t="shared" si="1"/>
        <v>0.5099999999999998</v>
      </c>
    </row>
    <row r="13" spans="1:9" ht="12.75">
      <c r="A13" s="119">
        <f>(PRODUCTION!B13)</f>
        <v>0.91</v>
      </c>
      <c r="B13" t="s">
        <v>55</v>
      </c>
      <c r="H13" s="119">
        <f>A13</f>
        <v>0.91</v>
      </c>
      <c r="I13" s="39">
        <f t="shared" si="1"/>
        <v>0</v>
      </c>
    </row>
    <row r="14" spans="1:9" ht="12.75">
      <c r="A14" s="120">
        <f>(PRODUCTION!B134)</f>
        <v>1981.512</v>
      </c>
      <c r="B14" t="s">
        <v>56</v>
      </c>
      <c r="H14" s="120">
        <f>INT(H11*H12*H13)</f>
        <v>2165</v>
      </c>
      <c r="I14" s="15">
        <f t="shared" si="1"/>
        <v>183.48800000000006</v>
      </c>
    </row>
    <row r="15" spans="1:9" ht="12.75">
      <c r="A15" s="131">
        <f>A14/A11</f>
        <v>9.500399999999999</v>
      </c>
      <c r="B15" t="s">
        <v>273</v>
      </c>
      <c r="H15" s="131">
        <f>H14/H11</f>
        <v>9.962545268461659</v>
      </c>
      <c r="I15" s="40">
        <f t="shared" si="1"/>
        <v>0.4621452684616596</v>
      </c>
    </row>
    <row r="16" spans="1:9" ht="12.75">
      <c r="A16" s="119">
        <f>(PRODUCTION!B14)</f>
        <v>0.975</v>
      </c>
      <c r="B16" t="s">
        <v>57</v>
      </c>
      <c r="H16" s="119">
        <f>A16</f>
        <v>0.975</v>
      </c>
      <c r="I16" s="39">
        <f t="shared" si="1"/>
        <v>0</v>
      </c>
    </row>
    <row r="17" spans="1:9" ht="12.75">
      <c r="A17" s="120">
        <f>(PRODUCTION!B135)</f>
        <v>1931</v>
      </c>
      <c r="B17" t="s">
        <v>58</v>
      </c>
      <c r="H17" s="120">
        <f>H14*H16</f>
        <v>2110.875</v>
      </c>
      <c r="I17" s="15">
        <f t="shared" si="1"/>
        <v>179.875</v>
      </c>
    </row>
    <row r="18" spans="1:9" ht="12.75">
      <c r="A18" s="131">
        <f>A17/A11</f>
        <v>9.258219178082191</v>
      </c>
      <c r="B18" t="s">
        <v>274</v>
      </c>
      <c r="H18" s="131">
        <f>H17/H11</f>
        <v>9.713481636750117</v>
      </c>
      <c r="I18" s="40">
        <f t="shared" si="1"/>
        <v>0.45526245866792614</v>
      </c>
    </row>
    <row r="19" spans="1:9" ht="12.75">
      <c r="A19" s="120">
        <f>(PRODUCTION!B68)</f>
        <v>1.6808488286584726</v>
      </c>
      <c r="B19" t="s">
        <v>59</v>
      </c>
      <c r="H19" s="117">
        <v>0</v>
      </c>
      <c r="I19" s="41">
        <f t="shared" si="1"/>
        <v>-1.6808488286584726</v>
      </c>
    </row>
    <row r="20" spans="1:9" ht="12.75">
      <c r="A20" s="15">
        <f>(PRODUCTION!B73)</f>
        <v>0.8167664670658683</v>
      </c>
      <c r="B20" t="s">
        <v>60</v>
      </c>
      <c r="H20" s="120">
        <f>A20</f>
        <v>0.8167664670658683</v>
      </c>
      <c r="I20" s="41">
        <f t="shared" si="1"/>
        <v>0</v>
      </c>
    </row>
    <row r="21" spans="1:9" ht="12.75">
      <c r="A21" s="121">
        <f>(OnFarmStud!E270)</f>
        <v>2101.1513157894738</v>
      </c>
      <c r="B21" t="s">
        <v>61</v>
      </c>
      <c r="H21" s="134">
        <v>0</v>
      </c>
      <c r="I21" s="158">
        <f t="shared" si="1"/>
        <v>-2101.1513157894738</v>
      </c>
    </row>
    <row r="22" spans="1:9" ht="12.75">
      <c r="A22" s="121">
        <f>(OnFarmStud!E290)</f>
        <v>80</v>
      </c>
      <c r="B22" t="s">
        <v>372</v>
      </c>
      <c r="H22" s="134">
        <f>A22</f>
        <v>80</v>
      </c>
      <c r="I22" s="158">
        <f t="shared" si="1"/>
        <v>0</v>
      </c>
    </row>
    <row r="23" spans="1:9" ht="12.75">
      <c r="A23" s="121">
        <f>(OnFarmStud!D300)</f>
        <v>60</v>
      </c>
      <c r="B23" t="s">
        <v>374</v>
      </c>
      <c r="H23" s="134">
        <v>0</v>
      </c>
      <c r="I23" s="158">
        <f t="shared" si="1"/>
        <v>-60</v>
      </c>
    </row>
    <row r="24" spans="1:9" ht="12.75">
      <c r="A24" s="121">
        <f>(OnFarmStud!D320)</f>
        <v>39</v>
      </c>
      <c r="B24" t="s">
        <v>375</v>
      </c>
      <c r="H24" s="134">
        <v>0</v>
      </c>
      <c r="I24" s="158">
        <f t="shared" si="1"/>
        <v>-39</v>
      </c>
    </row>
    <row r="25" spans="1:9" ht="12.75">
      <c r="A25" s="121">
        <f>(OnFarmStud!D321)</f>
        <v>240</v>
      </c>
      <c r="B25" t="s">
        <v>376</v>
      </c>
      <c r="H25" s="134">
        <v>0</v>
      </c>
      <c r="I25" s="158">
        <f t="shared" si="1"/>
        <v>-240</v>
      </c>
    </row>
    <row r="26" spans="1:9" ht="12.75">
      <c r="A26" s="121">
        <f>(OnFarmStud!D314)</f>
        <v>240</v>
      </c>
      <c r="B26" t="s">
        <v>377</v>
      </c>
      <c r="H26" s="134">
        <v>0</v>
      </c>
      <c r="I26" s="158">
        <f t="shared" si="1"/>
        <v>-240</v>
      </c>
    </row>
    <row r="27" spans="1:9" ht="12.75">
      <c r="A27" s="121">
        <f>(OnFarmStud!D315)</f>
        <v>175</v>
      </c>
      <c r="B27" t="s">
        <v>378</v>
      </c>
      <c r="H27" s="134">
        <v>0</v>
      </c>
      <c r="I27" s="158">
        <f t="shared" si="1"/>
        <v>-175</v>
      </c>
    </row>
    <row r="28" spans="1:9" ht="12.75">
      <c r="A28" s="121">
        <f>(OnFarmStud!E234)</f>
        <v>262.8</v>
      </c>
      <c r="B28" t="s">
        <v>62</v>
      </c>
      <c r="H28" s="121">
        <v>0</v>
      </c>
      <c r="I28" s="158">
        <f t="shared" si="1"/>
        <v>-262.8</v>
      </c>
    </row>
    <row r="29" spans="1:9" ht="12.75">
      <c r="A29" s="121">
        <f>(OnFarmStud!E288)</f>
        <v>91.25</v>
      </c>
      <c r="B29" t="s">
        <v>373</v>
      </c>
      <c r="H29" s="27">
        <f>A29</f>
        <v>91.25</v>
      </c>
      <c r="I29" s="158">
        <f t="shared" si="1"/>
        <v>0</v>
      </c>
    </row>
    <row r="30" spans="1:9" ht="12.75">
      <c r="A30" s="121">
        <f>(OnFarmStud!E289)</f>
        <v>182.5</v>
      </c>
      <c r="B30" t="s">
        <v>379</v>
      </c>
      <c r="H30" s="27">
        <f>A30</f>
        <v>182.5</v>
      </c>
      <c r="I30" s="158">
        <f t="shared" si="1"/>
        <v>0</v>
      </c>
    </row>
    <row r="31" spans="1:9" ht="12.75">
      <c r="A31" s="121">
        <f>(OnFarmStud!C135)</f>
        <v>411.98333333333335</v>
      </c>
      <c r="B31" t="s">
        <v>63</v>
      </c>
      <c r="H31" s="27">
        <f>(OnFarmStud!G125)+(OnFarmStud!G118)+(OnFarmStud!G58)</f>
        <v>144.65</v>
      </c>
      <c r="I31" s="158">
        <f t="shared" si="1"/>
        <v>-267.33333333333337</v>
      </c>
    </row>
    <row r="32" spans="1:9" ht="12.75">
      <c r="A32" s="27">
        <f>(OnFarmStud!C136)</f>
        <v>495.33277240574523</v>
      </c>
      <c r="B32" t="s">
        <v>64</v>
      </c>
      <c r="H32" s="27">
        <f>A32</f>
        <v>495.33277240574523</v>
      </c>
      <c r="I32" s="158">
        <f t="shared" si="1"/>
        <v>0</v>
      </c>
    </row>
    <row r="33" spans="1:9" ht="12.75">
      <c r="A33" s="27">
        <f>(OnFarmStud!E223)</f>
        <v>203.40909971415695</v>
      </c>
      <c r="B33" t="s">
        <v>65</v>
      </c>
      <c r="H33" s="159">
        <v>0</v>
      </c>
      <c r="I33" s="158">
        <f t="shared" si="1"/>
        <v>-203.40909971415695</v>
      </c>
    </row>
    <row r="34" spans="1:9" ht="12.75">
      <c r="A34" s="27">
        <f>(OnFarmStud!E254)</f>
        <v>55.508031555935744</v>
      </c>
      <c r="B34" t="s">
        <v>66</v>
      </c>
      <c r="H34" s="159">
        <v>0</v>
      </c>
      <c r="I34" s="158">
        <f t="shared" si="1"/>
        <v>-55.508031555935744</v>
      </c>
    </row>
    <row r="35" spans="1:9" ht="12.75">
      <c r="A35" s="27">
        <f>(OnFarmStud!E255)</f>
        <v>55.508031555935744</v>
      </c>
      <c r="B35" t="s">
        <v>67</v>
      </c>
      <c r="H35" s="159">
        <v>0</v>
      </c>
      <c r="I35" s="158">
        <f t="shared" si="1"/>
        <v>-55.508031555935744</v>
      </c>
    </row>
    <row r="36" spans="1:9" ht="12.75">
      <c r="A36" s="27">
        <f>(OnFarmStud!E256)</f>
        <v>69.52380952380952</v>
      </c>
      <c r="B36" t="s">
        <v>68</v>
      </c>
      <c r="H36" s="159">
        <v>0</v>
      </c>
      <c r="I36" s="158">
        <f t="shared" si="1"/>
        <v>-69.52380952380952</v>
      </c>
    </row>
    <row r="37" spans="1:9" ht="12.75">
      <c r="A37" s="121">
        <f>(OnFarmStud!E253)</f>
        <v>243.33333333333331</v>
      </c>
      <c r="B37" t="s">
        <v>7</v>
      </c>
      <c r="H37" s="130">
        <v>0</v>
      </c>
      <c r="I37" s="158">
        <f>H37-A37</f>
        <v>-243.33333333333331</v>
      </c>
    </row>
    <row r="38" spans="1:9" ht="12.75">
      <c r="A38" s="130">
        <v>0</v>
      </c>
      <c r="B38" t="s">
        <v>69</v>
      </c>
      <c r="H38" s="130">
        <v>6.5</v>
      </c>
      <c r="I38" s="159">
        <f t="shared" si="1"/>
        <v>6.5</v>
      </c>
    </row>
    <row r="39" spans="1:9" ht="12.75">
      <c r="A39" s="125">
        <f>(PRODUCTION!B6)/(PRODUCTION!B26)</f>
        <v>10.428571428571429</v>
      </c>
      <c r="B39" t="s">
        <v>70</v>
      </c>
      <c r="H39" s="125">
        <f>A39</f>
        <v>10.428571428571429</v>
      </c>
      <c r="I39" s="41">
        <f t="shared" si="1"/>
        <v>0</v>
      </c>
    </row>
    <row r="40" spans="1:9" ht="12.75">
      <c r="A40" s="13">
        <v>0</v>
      </c>
      <c r="B40" t="s">
        <v>71</v>
      </c>
      <c r="H40" s="66">
        <v>2</v>
      </c>
      <c r="I40" s="41">
        <f t="shared" si="1"/>
        <v>2</v>
      </c>
    </row>
    <row r="41" spans="1:9" ht="12.75">
      <c r="A41" s="13">
        <v>0</v>
      </c>
      <c r="B41" t="s">
        <v>798</v>
      </c>
      <c r="H41" s="81">
        <v>40</v>
      </c>
      <c r="I41" s="160">
        <f t="shared" si="1"/>
        <v>40</v>
      </c>
    </row>
    <row r="42" spans="1:9" ht="12.75">
      <c r="A42" s="66">
        <v>10</v>
      </c>
      <c r="B42" t="s">
        <v>72</v>
      </c>
      <c r="H42" s="66">
        <v>10</v>
      </c>
      <c r="I42" s="41">
        <f t="shared" si="1"/>
        <v>0</v>
      </c>
    </row>
    <row r="43" spans="1:9" ht="12.75">
      <c r="A43" s="74">
        <v>250</v>
      </c>
      <c r="B43" t="s">
        <v>516</v>
      </c>
      <c r="H43" s="74">
        <v>250</v>
      </c>
      <c r="I43" s="41">
        <f t="shared" si="1"/>
        <v>0</v>
      </c>
    </row>
    <row r="44" spans="1:9" ht="12.75">
      <c r="A44" s="34"/>
      <c r="B44" s="36"/>
      <c r="C44" s="36"/>
      <c r="D44" s="36"/>
      <c r="E44" s="36"/>
      <c r="F44" s="36"/>
      <c r="G44" s="36"/>
      <c r="H44" s="34"/>
      <c r="I44" s="34"/>
    </row>
    <row r="45" spans="1:9" ht="12.75">
      <c r="A45" s="117"/>
      <c r="B45" s="124"/>
      <c r="C45" s="4" t="s">
        <v>107</v>
      </c>
      <c r="D45" s="124"/>
      <c r="E45" s="124"/>
      <c r="F45" s="124"/>
      <c r="G45" s="124"/>
      <c r="H45" s="117"/>
      <c r="I45" s="117"/>
    </row>
    <row r="46" spans="1:9" ht="12.75">
      <c r="A46" s="131"/>
      <c r="B46" s="115" t="s">
        <v>73</v>
      </c>
      <c r="H46" s="131"/>
      <c r="I46" s="39"/>
    </row>
    <row r="47" spans="1:9" ht="12.75">
      <c r="A47" s="74">
        <v>3</v>
      </c>
      <c r="B47" t="s">
        <v>74</v>
      </c>
      <c r="H47" s="74">
        <v>3</v>
      </c>
      <c r="I47" s="41">
        <f t="shared" si="1"/>
        <v>0</v>
      </c>
    </row>
    <row r="48" spans="1:9" ht="12.75">
      <c r="A48" s="74">
        <v>15</v>
      </c>
      <c r="B48" t="s">
        <v>75</v>
      </c>
      <c r="H48" s="74">
        <v>15</v>
      </c>
      <c r="I48" s="41">
        <f t="shared" si="1"/>
        <v>0</v>
      </c>
    </row>
    <row r="49" spans="1:9" ht="12.75">
      <c r="A49" s="74">
        <v>50</v>
      </c>
      <c r="B49" t="s">
        <v>76</v>
      </c>
      <c r="H49" s="74">
        <v>47</v>
      </c>
      <c r="I49" s="41">
        <f t="shared" si="1"/>
        <v>-3</v>
      </c>
    </row>
    <row r="50" spans="1:9" ht="12.75">
      <c r="A50" s="74">
        <v>87</v>
      </c>
      <c r="B50" t="s">
        <v>77</v>
      </c>
      <c r="H50" s="74">
        <v>82</v>
      </c>
      <c r="I50" s="41">
        <f t="shared" si="1"/>
        <v>-5</v>
      </c>
    </row>
    <row r="51" spans="1:9" ht="12.75">
      <c r="A51" s="74">
        <v>149</v>
      </c>
      <c r="B51" t="s">
        <v>78</v>
      </c>
      <c r="H51" s="74">
        <v>144</v>
      </c>
      <c r="I51" s="41">
        <f t="shared" si="1"/>
        <v>-5</v>
      </c>
    </row>
    <row r="52" spans="1:9" ht="12.75">
      <c r="A52" s="74">
        <v>190</v>
      </c>
      <c r="B52" t="s">
        <v>79</v>
      </c>
      <c r="H52" s="74">
        <v>185</v>
      </c>
      <c r="I52" s="41">
        <f t="shared" si="1"/>
        <v>-5</v>
      </c>
    </row>
    <row r="53" spans="1:9" ht="12.75">
      <c r="A53" s="74">
        <v>228</v>
      </c>
      <c r="B53" t="s">
        <v>80</v>
      </c>
      <c r="H53" s="74">
        <v>216</v>
      </c>
      <c r="I53" s="41">
        <f t="shared" si="1"/>
        <v>-12</v>
      </c>
    </row>
    <row r="54" spans="1:9" ht="12.75">
      <c r="A54" s="120">
        <f>(A47+A48+A49+A50+A51+A52+A53)</f>
        <v>722</v>
      </c>
      <c r="B54" s="116" t="s">
        <v>791</v>
      </c>
      <c r="C54" s="116"/>
      <c r="D54" s="116"/>
      <c r="E54" s="116"/>
      <c r="F54" s="116"/>
      <c r="G54" s="116"/>
      <c r="H54" s="120">
        <f>(H47+H48+H49+H50+H51+H52+H53)</f>
        <v>692</v>
      </c>
      <c r="I54" s="41">
        <f>H54-A54</f>
        <v>-30</v>
      </c>
    </row>
    <row r="55" spans="1:9" ht="12.75">
      <c r="A55" s="131">
        <f>(A47+A48+A49+A50+A51+A52+A53)/(A43-A42)</f>
        <v>3.0083333333333333</v>
      </c>
      <c r="B55" s="116" t="s">
        <v>792</v>
      </c>
      <c r="G55" s="116"/>
      <c r="H55" s="131">
        <f>(H47+H48+H49+H50+H51+H52+H53)/(H43-H42)</f>
        <v>2.8833333333333333</v>
      </c>
      <c r="I55" s="168">
        <f>H55-A55</f>
        <v>-0.125</v>
      </c>
    </row>
    <row r="56" spans="1:9" ht="12.75">
      <c r="A56" s="117"/>
      <c r="B56" s="115" t="s">
        <v>81</v>
      </c>
      <c r="H56" s="117"/>
      <c r="I56" s="39"/>
    </row>
    <row r="57" spans="1:9" ht="12.75">
      <c r="A57" s="109">
        <v>0.12</v>
      </c>
      <c r="B57" t="s">
        <v>82</v>
      </c>
      <c r="H57" s="109">
        <v>0.12</v>
      </c>
      <c r="I57" s="160">
        <f t="shared" si="1"/>
        <v>0</v>
      </c>
    </row>
    <row r="58" spans="1:9" ht="12.75">
      <c r="A58" s="109">
        <v>0.117</v>
      </c>
      <c r="B58" t="s">
        <v>83</v>
      </c>
      <c r="H58" s="109">
        <v>0.117</v>
      </c>
      <c r="I58" s="160">
        <f t="shared" si="1"/>
        <v>0</v>
      </c>
    </row>
    <row r="59" spans="1:9" ht="12.75">
      <c r="A59" s="109">
        <v>0.076</v>
      </c>
      <c r="B59" t="s">
        <v>84</v>
      </c>
      <c r="H59" s="109">
        <v>0.076</v>
      </c>
      <c r="I59" s="160">
        <f t="shared" si="1"/>
        <v>0</v>
      </c>
    </row>
    <row r="60" spans="1:9" ht="12.75">
      <c r="A60" s="109">
        <v>0.064</v>
      </c>
      <c r="B60" t="s">
        <v>85</v>
      </c>
      <c r="H60" s="109">
        <v>0.064</v>
      </c>
      <c r="I60" s="160">
        <f t="shared" si="1"/>
        <v>0</v>
      </c>
    </row>
    <row r="61" spans="1:9" ht="12.75">
      <c r="A61" s="109">
        <v>0.056</v>
      </c>
      <c r="B61" t="s">
        <v>86</v>
      </c>
      <c r="H61" s="109">
        <v>0.056</v>
      </c>
      <c r="I61" s="160">
        <f t="shared" si="1"/>
        <v>0</v>
      </c>
    </row>
    <row r="62" spans="1:9" ht="12.75">
      <c r="A62" s="109">
        <v>0.054</v>
      </c>
      <c r="B62" t="s">
        <v>87</v>
      </c>
      <c r="H62" s="109">
        <v>0.054</v>
      </c>
      <c r="I62" s="160">
        <f t="shared" si="1"/>
        <v>0</v>
      </c>
    </row>
    <row r="63" spans="1:9" ht="12.75">
      <c r="A63" s="109">
        <v>0.051</v>
      </c>
      <c r="B63" t="s">
        <v>88</v>
      </c>
      <c r="H63" s="109">
        <v>0.051</v>
      </c>
      <c r="I63" s="160">
        <f t="shared" si="1"/>
        <v>0</v>
      </c>
    </row>
    <row r="64" ht="12.75">
      <c r="B64" s="115" t="s">
        <v>793</v>
      </c>
    </row>
    <row r="65" spans="1:9" ht="12.75">
      <c r="A65" s="198">
        <v>0.28</v>
      </c>
      <c r="B65" t="s">
        <v>232</v>
      </c>
      <c r="H65" s="198">
        <v>0.28</v>
      </c>
      <c r="I65" s="197">
        <f>H65-A65</f>
        <v>0</v>
      </c>
    </row>
    <row r="66" spans="1:9" ht="12.75">
      <c r="A66" s="198">
        <v>0</v>
      </c>
      <c r="B66" t="s">
        <v>231</v>
      </c>
      <c r="H66" s="74">
        <v>0.0102</v>
      </c>
      <c r="I66" s="197">
        <f>H66-A66</f>
        <v>0.0102</v>
      </c>
    </row>
    <row r="67" spans="1:9" ht="12.75">
      <c r="A67" s="97">
        <v>4</v>
      </c>
      <c r="B67" t="s">
        <v>233</v>
      </c>
      <c r="H67" s="97">
        <v>7.21</v>
      </c>
      <c r="I67" s="159">
        <f>H67-A67</f>
        <v>3.21</v>
      </c>
    </row>
    <row r="68" spans="1:9" ht="12.75">
      <c r="A68" s="180"/>
      <c r="B68" s="115" t="s">
        <v>179</v>
      </c>
      <c r="H68" s="180"/>
      <c r="I68" s="159"/>
    </row>
    <row r="69" spans="1:9" ht="12.75">
      <c r="A69" s="96">
        <v>0.0045</v>
      </c>
      <c r="B69" t="s">
        <v>181</v>
      </c>
      <c r="H69" s="199">
        <f>A69</f>
        <v>0.0045</v>
      </c>
      <c r="I69" s="197">
        <f>H69-A69</f>
        <v>0</v>
      </c>
    </row>
    <row r="70" spans="1:9" ht="12.75">
      <c r="A70" s="96">
        <v>0.0021</v>
      </c>
      <c r="B70" t="s">
        <v>180</v>
      </c>
      <c r="H70" s="199">
        <f>A70</f>
        <v>0.0021</v>
      </c>
      <c r="I70" s="197">
        <f>H70-A70</f>
        <v>0</v>
      </c>
    </row>
    <row r="71" spans="1:9" ht="12.75">
      <c r="A71" s="79"/>
      <c r="B71" s="78"/>
      <c r="C71" s="78"/>
      <c r="D71" s="78"/>
      <c r="E71" s="78"/>
      <c r="F71" s="78"/>
      <c r="G71" s="78"/>
      <c r="H71" s="79"/>
      <c r="I71" s="79"/>
    </row>
    <row r="72" spans="2:9" ht="12.75">
      <c r="B72" s="193"/>
      <c r="C72" s="193"/>
      <c r="D72" s="55" t="s">
        <v>282</v>
      </c>
      <c r="E72" s="193"/>
      <c r="F72" s="193"/>
      <c r="G72" s="193"/>
      <c r="H72" s="54"/>
      <c r="I72" s="54"/>
    </row>
    <row r="73" spans="1:9" ht="12.7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2.75">
      <c r="A74" s="21" t="str">
        <f>A3</f>
        <v>On-Farm</v>
      </c>
      <c r="B74" s="4" t="s">
        <v>89</v>
      </c>
      <c r="H74" s="21" t="str">
        <f>H3</f>
        <v>Commercial</v>
      </c>
      <c r="I74" s="21" t="str">
        <f>I3</f>
        <v>(CS-OnFS)</v>
      </c>
    </row>
    <row r="75" spans="1:9" ht="12.75">
      <c r="A75" s="121">
        <f>SUM(A21:A37)</f>
        <v>5006.299727211722</v>
      </c>
      <c r="B75" t="s">
        <v>90</v>
      </c>
      <c r="H75" s="121">
        <f>SUM(H21:H37)</f>
        <v>993.7327724057452</v>
      </c>
      <c r="I75" s="134">
        <f>H75-A75</f>
        <v>-4012.566954805977</v>
      </c>
    </row>
    <row r="76" spans="1:9" ht="12.75">
      <c r="A76" s="121">
        <f>(A9*A38)</f>
        <v>0</v>
      </c>
      <c r="B76" t="s">
        <v>91</v>
      </c>
      <c r="H76" s="121">
        <f>(H9*H38)</f>
        <v>3250</v>
      </c>
      <c r="I76" s="134">
        <f>H76-A76</f>
        <v>3250</v>
      </c>
    </row>
    <row r="77" spans="1:9" ht="12.75">
      <c r="A77" s="121">
        <f>(A39*A40*A41)</f>
        <v>0</v>
      </c>
      <c r="B77" t="s">
        <v>92</v>
      </c>
      <c r="H77" s="121">
        <f>(H39*H40*H41)</f>
        <v>834.2857142857143</v>
      </c>
      <c r="I77" s="134">
        <f>H77-A77</f>
        <v>834.2857142857143</v>
      </c>
    </row>
    <row r="78" spans="1:9" ht="12.75">
      <c r="A78" s="132">
        <f>SUM(A75:A77)</f>
        <v>5006.299727211722</v>
      </c>
      <c r="B78" t="s">
        <v>93</v>
      </c>
      <c r="H78" s="132">
        <f>SUM(H75:H77)</f>
        <v>5078.01848669146</v>
      </c>
      <c r="I78" s="134">
        <f>H78-A78</f>
        <v>71.71875947973786</v>
      </c>
    </row>
    <row r="79" spans="1:9" ht="12.75">
      <c r="A79" s="121"/>
      <c r="B79" s="115" t="s">
        <v>177</v>
      </c>
      <c r="H79" s="121"/>
      <c r="I79" s="121"/>
    </row>
    <row r="80" spans="1:9" ht="12.75">
      <c r="A80" s="130">
        <f>A78/A9</f>
        <v>10.012599454423444</v>
      </c>
      <c r="B80" t="s">
        <v>797</v>
      </c>
      <c r="H80" s="130">
        <f>(H78/H9)</f>
        <v>10.15603697338292</v>
      </c>
      <c r="I80" s="169">
        <f>H80-A80</f>
        <v>0.14343751895947499</v>
      </c>
    </row>
    <row r="81" spans="1:9" ht="12.75">
      <c r="A81" s="19">
        <f>A78/A8</f>
        <v>20.04234377092638</v>
      </c>
      <c r="B81" t="s">
        <v>94</v>
      </c>
      <c r="H81" s="19">
        <f>H78/H8</f>
        <v>20.32946442103533</v>
      </c>
      <c r="I81" s="169">
        <f>H81-A81</f>
        <v>0.2871206501089496</v>
      </c>
    </row>
    <row r="82" spans="1:9" ht="12.75">
      <c r="A82" s="19">
        <f>A78/A89</f>
        <v>2.52715786330728</v>
      </c>
      <c r="B82" t="s">
        <v>95</v>
      </c>
      <c r="H82" s="19">
        <f>H78/H89</f>
        <v>2.45960175192083</v>
      </c>
      <c r="I82" s="169">
        <f>H82-A82</f>
        <v>-0.06755611138645001</v>
      </c>
    </row>
    <row r="83" spans="1:9" ht="12.75">
      <c r="A83" s="19">
        <f>A75/A90</f>
        <v>2.59259436934838</v>
      </c>
      <c r="B83" t="s">
        <v>96</v>
      </c>
      <c r="H83" s="19">
        <f>H78/H90</f>
        <v>2.522668463508544</v>
      </c>
      <c r="I83" s="169">
        <f>H83-A83</f>
        <v>-0.06992590583983604</v>
      </c>
    </row>
    <row r="84" spans="1:9" ht="12.75">
      <c r="A84" s="27">
        <f>((A124*A43)*(A65+A66))+(A124*A67)-A78</f>
        <v>137887.70027278826</v>
      </c>
      <c r="B84" t="s">
        <v>713</v>
      </c>
      <c r="H84" s="27">
        <f>((A124*A43)*(A65+A66))+(A124*A67)-H78</f>
        <v>137815.98151330854</v>
      </c>
      <c r="I84" s="158">
        <f>H84-A84</f>
        <v>-71.71875947972876</v>
      </c>
    </row>
    <row r="85" spans="1:9" ht="12.75">
      <c r="A85" s="79"/>
      <c r="B85" s="78"/>
      <c r="C85" s="78"/>
      <c r="D85" s="78"/>
      <c r="E85" s="78"/>
      <c r="F85" s="78"/>
      <c r="G85" s="78"/>
      <c r="H85" s="79"/>
      <c r="I85" s="79"/>
    </row>
    <row r="86" spans="1:9" ht="12.75">
      <c r="A86" s="114" t="str">
        <f>A3</f>
        <v>On-Farm</v>
      </c>
      <c r="B86" s="4" t="s">
        <v>946</v>
      </c>
      <c r="H86" s="114" t="str">
        <f>H3</f>
        <v>Commercial</v>
      </c>
      <c r="I86" s="114" t="str">
        <f>I3</f>
        <v>(CS-OnFS)</v>
      </c>
    </row>
    <row r="87" spans="1:9" ht="12.75">
      <c r="A87" s="15">
        <f>(PRODUCTION!B$126)</f>
        <v>208.57142857142858</v>
      </c>
      <c r="B87" t="s">
        <v>13</v>
      </c>
      <c r="H87" s="15">
        <f>(H$8*H$10)</f>
        <v>217.31394354148847</v>
      </c>
      <c r="I87" s="15">
        <f>(H$87-A87)</f>
        <v>8.742514970059887</v>
      </c>
    </row>
    <row r="88" spans="1:9" ht="12.75">
      <c r="A88" s="40">
        <f>(PRODUCTION!B130)</f>
        <v>9.500399999999999</v>
      </c>
      <c r="B88" t="s">
        <v>97</v>
      </c>
      <c r="H88" s="40">
        <f>(PRODUCTION!B130)</f>
        <v>9.500399999999999</v>
      </c>
      <c r="I88" s="40">
        <f>(H88-A88)</f>
        <v>0</v>
      </c>
    </row>
    <row r="89" spans="1:9" ht="12.75">
      <c r="A89" s="15">
        <f>INT(PRODUCTION!B134)</f>
        <v>1981</v>
      </c>
      <c r="B89" t="s">
        <v>14</v>
      </c>
      <c r="H89" s="15">
        <f>(H87*H88)</f>
        <v>2064.569389221557</v>
      </c>
      <c r="I89" s="15">
        <f>(H89-A89)</f>
        <v>83.56938922155678</v>
      </c>
    </row>
    <row r="90" spans="1:9" ht="12.75">
      <c r="A90" s="15">
        <f>INT(PRODUCTION!B135)</f>
        <v>1931</v>
      </c>
      <c r="B90" t="s">
        <v>15</v>
      </c>
      <c r="H90" s="15">
        <f>H16*H89</f>
        <v>2012.9551544910178</v>
      </c>
      <c r="I90" s="15">
        <f>H90-A90</f>
        <v>81.95515449101777</v>
      </c>
    </row>
    <row r="91" spans="1:9" ht="12.75">
      <c r="A91" s="27">
        <f>((A124*A43)*(A65+A66))+(A124*A67)</f>
        <v>142894</v>
      </c>
      <c r="B91" t="s">
        <v>16</v>
      </c>
      <c r="H91" s="27">
        <f>((H90*A43)*(A65+A66))+(A124*A67)</f>
        <v>148630.86081437126</v>
      </c>
      <c r="I91" s="158">
        <f>H91-A91</f>
        <v>5736.860814371263</v>
      </c>
    </row>
    <row r="92" spans="1:9" ht="12.75">
      <c r="A92" s="27">
        <f>(A91-A78)</f>
        <v>137887.70027278826</v>
      </c>
      <c r="B92" t="s">
        <v>17</v>
      </c>
      <c r="H92" s="27">
        <f>(H91-H78)</f>
        <v>143552.8423276798</v>
      </c>
      <c r="I92" s="158">
        <f>H92-A92</f>
        <v>5665.142054891534</v>
      </c>
    </row>
    <row r="93" spans="1:9" ht="12.75">
      <c r="A93" s="79"/>
      <c r="B93" s="78"/>
      <c r="C93" s="78"/>
      <c r="D93" s="78"/>
      <c r="E93" s="78"/>
      <c r="F93" s="78"/>
      <c r="G93" s="78"/>
      <c r="H93" s="79"/>
      <c r="I93" s="79"/>
    </row>
    <row r="94" spans="1:9" ht="12.75">
      <c r="A94" s="114" t="str">
        <f>A3</f>
        <v>On-Farm</v>
      </c>
      <c r="B94" s="4" t="s">
        <v>947</v>
      </c>
      <c r="H94" s="114" t="str">
        <f>H3</f>
        <v>Commercial</v>
      </c>
      <c r="I94" s="114" t="str">
        <f>I3</f>
        <v>(CS-OnFS)</v>
      </c>
    </row>
    <row r="95" spans="1:9" ht="12.75">
      <c r="A95" s="15">
        <f>(PRODUCTION!B126)</f>
        <v>208.57142857142858</v>
      </c>
      <c r="B95" t="s">
        <v>13</v>
      </c>
      <c r="H95" s="15">
        <f>A87</f>
        <v>208.57142857142858</v>
      </c>
      <c r="I95" s="15">
        <f aca="true" t="shared" si="2" ref="I95:I103">H95-A95</f>
        <v>0</v>
      </c>
    </row>
    <row r="96" spans="1:9" ht="12.75">
      <c r="A96" s="40">
        <f>A12</f>
        <v>10.44</v>
      </c>
      <c r="B96" t="s">
        <v>894</v>
      </c>
      <c r="H96" s="40">
        <f>H12</f>
        <v>10.95</v>
      </c>
      <c r="I96" s="40">
        <f t="shared" si="2"/>
        <v>0.5099999999999998</v>
      </c>
    </row>
    <row r="97" spans="1:9" ht="12.75">
      <c r="A97" s="41">
        <f>A96*A5</f>
        <v>208.79999999999998</v>
      </c>
      <c r="B97" t="s">
        <v>895</v>
      </c>
      <c r="H97" s="41">
        <f>H96*H5</f>
        <v>219</v>
      </c>
      <c r="I97" s="40">
        <f t="shared" si="2"/>
        <v>10.200000000000017</v>
      </c>
    </row>
    <row r="98" spans="1:9" ht="12.75">
      <c r="A98" s="40">
        <f>(PRODUCTION!B$130)</f>
        <v>9.500399999999999</v>
      </c>
      <c r="B98" t="s">
        <v>530</v>
      </c>
      <c r="H98" s="40">
        <f>H$12*H$13</f>
        <v>9.9645</v>
      </c>
      <c r="I98" s="40">
        <f t="shared" si="2"/>
        <v>0.4641000000000002</v>
      </c>
    </row>
    <row r="99" spans="1:9" ht="12.75">
      <c r="A99" s="41">
        <f>A98*A5</f>
        <v>190.00799999999998</v>
      </c>
      <c r="B99" t="s">
        <v>897</v>
      </c>
      <c r="H99" s="41">
        <f>H98*H5</f>
        <v>199.29</v>
      </c>
      <c r="I99" s="40">
        <f t="shared" si="2"/>
        <v>9.28200000000001</v>
      </c>
    </row>
    <row r="100" spans="1:9" ht="12.75">
      <c r="A100" s="15">
        <f>INT(PRODUCTION!B134)</f>
        <v>1981</v>
      </c>
      <c r="B100" t="s">
        <v>14</v>
      </c>
      <c r="H100" s="15">
        <f>(H95*H98)</f>
        <v>2078.31</v>
      </c>
      <c r="I100" s="15">
        <f t="shared" si="2"/>
        <v>97.30999999999995</v>
      </c>
    </row>
    <row r="101" spans="1:9" ht="12.75">
      <c r="A101" s="15">
        <f>A90</f>
        <v>1931</v>
      </c>
      <c r="B101" t="s">
        <v>15</v>
      </c>
      <c r="H101" s="15">
        <f>H16*H100</f>
        <v>2026.35225</v>
      </c>
      <c r="I101" s="15">
        <f t="shared" si="2"/>
        <v>95.35224999999991</v>
      </c>
    </row>
    <row r="102" spans="1:9" ht="12.75">
      <c r="A102" s="27">
        <f>A91</f>
        <v>142894</v>
      </c>
      <c r="B102" t="s">
        <v>16</v>
      </c>
      <c r="H102" s="27">
        <f>((H101*A43)*(A65+A66))+(A124*A67)</f>
        <v>149568.6575</v>
      </c>
      <c r="I102" s="158">
        <f t="shared" si="2"/>
        <v>6674.657500000001</v>
      </c>
    </row>
    <row r="103" spans="1:9" ht="12.75">
      <c r="A103" s="27">
        <f>(A102-A78)</f>
        <v>137887.70027278826</v>
      </c>
      <c r="B103" t="s">
        <v>17</v>
      </c>
      <c r="H103" s="27">
        <f>(H102-H78)</f>
        <v>144490.63901330854</v>
      </c>
      <c r="I103" s="158">
        <f t="shared" si="2"/>
        <v>6602.938740520272</v>
      </c>
    </row>
    <row r="104" spans="1:9" ht="12.75">
      <c r="A104" s="79"/>
      <c r="B104" s="78"/>
      <c r="C104" s="78"/>
      <c r="D104" s="78"/>
      <c r="E104" s="78"/>
      <c r="F104" s="78"/>
      <c r="G104" s="78"/>
      <c r="H104" s="79"/>
      <c r="I104" s="79"/>
    </row>
    <row r="105" spans="1:9" ht="12.75">
      <c r="A105" s="117"/>
      <c r="B105" s="124"/>
      <c r="C105" s="124"/>
      <c r="D105" s="55" t="s">
        <v>282</v>
      </c>
      <c r="E105" s="124"/>
      <c r="F105" s="124"/>
      <c r="G105" s="124"/>
      <c r="H105" s="117"/>
      <c r="I105" s="117"/>
    </row>
    <row r="106" spans="1:9" ht="12.75">
      <c r="A106" s="79"/>
      <c r="B106" s="78"/>
      <c r="C106" s="78"/>
      <c r="D106" s="78"/>
      <c r="E106" s="78"/>
      <c r="F106" s="78"/>
      <c r="G106" s="78"/>
      <c r="H106" s="79"/>
      <c r="I106" s="79"/>
    </row>
    <row r="107" spans="1:9" ht="12.75">
      <c r="A107" s="133" t="str">
        <f>A3</f>
        <v>On-Farm</v>
      </c>
      <c r="B107" s="33" t="s">
        <v>769</v>
      </c>
      <c r="C107" s="26"/>
      <c r="D107" s="26"/>
      <c r="E107" s="124"/>
      <c r="F107" s="124"/>
      <c r="G107" s="124"/>
      <c r="H107" s="133" t="str">
        <f>H3</f>
        <v>Commercial</v>
      </c>
      <c r="I107" s="133" t="str">
        <f>I3</f>
        <v>(CS-OnFS)</v>
      </c>
    </row>
    <row r="108" spans="1:9" ht="12.75">
      <c r="A108" s="120">
        <f aca="true" t="shared" si="3" ref="A108:A113">A87</f>
        <v>208.57142857142858</v>
      </c>
      <c r="B108" t="s">
        <v>13</v>
      </c>
      <c r="C108" s="26"/>
      <c r="D108" s="26"/>
      <c r="E108" s="124"/>
      <c r="F108" s="124"/>
      <c r="G108" s="124"/>
      <c r="H108" s="120">
        <f>H87</f>
        <v>217.31394354148847</v>
      </c>
      <c r="I108" s="120">
        <f aca="true" t="shared" si="4" ref="I108:I113">H108-A108</f>
        <v>8.742514970059887</v>
      </c>
    </row>
    <row r="109" spans="1:9" ht="12.75">
      <c r="A109" s="131">
        <f t="shared" si="3"/>
        <v>9.500399999999999</v>
      </c>
      <c r="B109" t="s">
        <v>97</v>
      </c>
      <c r="C109" s="26"/>
      <c r="D109" s="26"/>
      <c r="E109" s="124"/>
      <c r="F109" s="124"/>
      <c r="G109" s="124"/>
      <c r="H109" s="131">
        <f>H98</f>
        <v>9.9645</v>
      </c>
      <c r="I109" s="131">
        <f t="shared" si="4"/>
        <v>0.4641000000000002</v>
      </c>
    </row>
    <row r="110" spans="1:9" ht="12.75">
      <c r="A110" s="120">
        <f t="shared" si="3"/>
        <v>1981</v>
      </c>
      <c r="B110" t="s">
        <v>14</v>
      </c>
      <c r="C110" s="26"/>
      <c r="D110" s="26"/>
      <c r="E110" s="124"/>
      <c r="F110" s="124"/>
      <c r="G110" s="124"/>
      <c r="H110" s="120">
        <f>H108*H109</f>
        <v>2165.4247904191616</v>
      </c>
      <c r="I110" s="120">
        <f t="shared" si="4"/>
        <v>184.42479041916158</v>
      </c>
    </row>
    <row r="111" spans="1:9" ht="12.75">
      <c r="A111" s="117">
        <f t="shared" si="3"/>
        <v>1931</v>
      </c>
      <c r="B111" t="s">
        <v>15</v>
      </c>
      <c r="C111" s="26"/>
      <c r="D111" s="26"/>
      <c r="E111" s="124"/>
      <c r="F111" s="124"/>
      <c r="G111" s="124"/>
      <c r="H111" s="120">
        <f>H16*H110</f>
        <v>2111.2891706586825</v>
      </c>
      <c r="I111" s="120">
        <f t="shared" si="4"/>
        <v>180.28917065868245</v>
      </c>
    </row>
    <row r="112" spans="1:9" ht="12.75">
      <c r="A112" s="121">
        <f t="shared" si="3"/>
        <v>142894</v>
      </c>
      <c r="B112" t="s">
        <v>16</v>
      </c>
      <c r="C112" s="26"/>
      <c r="D112" s="26"/>
      <c r="E112" s="124"/>
      <c r="F112" s="124"/>
      <c r="G112" s="124"/>
      <c r="H112" s="121">
        <f>((H111*A43)*(A65+A66))+(A124*A67)</f>
        <v>155514.2419461078</v>
      </c>
      <c r="I112" s="134">
        <f t="shared" si="4"/>
        <v>12620.241946107795</v>
      </c>
    </row>
    <row r="113" spans="1:9" ht="12.75">
      <c r="A113" s="121">
        <f t="shared" si="3"/>
        <v>137887.70027278826</v>
      </c>
      <c r="B113" t="s">
        <v>713</v>
      </c>
      <c r="C113" s="26"/>
      <c r="D113" s="26"/>
      <c r="E113" s="124"/>
      <c r="F113" s="124"/>
      <c r="G113" s="124"/>
      <c r="H113" s="121">
        <f>H112-H78</f>
        <v>150436.22345941633</v>
      </c>
      <c r="I113" s="134">
        <f t="shared" si="4"/>
        <v>12548.523186628066</v>
      </c>
    </row>
    <row r="114" spans="1:9" ht="12.75">
      <c r="A114" s="79"/>
      <c r="B114" s="78"/>
      <c r="C114" s="78"/>
      <c r="D114" s="78"/>
      <c r="E114" s="78"/>
      <c r="F114" s="78"/>
      <c r="G114" s="78"/>
      <c r="H114" s="79"/>
      <c r="I114" s="79"/>
    </row>
    <row r="115" spans="1:9" ht="12.75">
      <c r="A115" s="114" t="str">
        <f>A3</f>
        <v>On-Farm</v>
      </c>
      <c r="B115" s="4" t="s">
        <v>948</v>
      </c>
      <c r="H115" s="114" t="str">
        <f>H3</f>
        <v>Commercial</v>
      </c>
      <c r="I115" s="133" t="str">
        <f>I3</f>
        <v>(CS-OnFS)</v>
      </c>
    </row>
    <row r="116" spans="1:9" ht="12.75">
      <c r="A116" s="120">
        <f>A101</f>
        <v>1931</v>
      </c>
      <c r="B116" t="s">
        <v>98</v>
      </c>
      <c r="H116" s="120">
        <f>A101</f>
        <v>1931</v>
      </c>
      <c r="I116" s="120">
        <f aca="true" t="shared" si="5" ref="I116:I121">H116-A116</f>
        <v>0</v>
      </c>
    </row>
    <row r="117" spans="1:9" ht="12.75">
      <c r="A117" s="117">
        <f>SUM(A47:A53)</f>
        <v>722</v>
      </c>
      <c r="B117" t="s">
        <v>99</v>
      </c>
      <c r="H117" s="117">
        <f>SUM(H47:H53)</f>
        <v>692</v>
      </c>
      <c r="I117" s="120">
        <f t="shared" si="5"/>
        <v>-30</v>
      </c>
    </row>
    <row r="118" spans="1:9" ht="12.75">
      <c r="A118" s="131">
        <f>A117/(A43-A42)</f>
        <v>3.0083333333333333</v>
      </c>
      <c r="B118" t="s">
        <v>100</v>
      </c>
      <c r="H118" s="131">
        <f>H117/(H43-H42)</f>
        <v>2.8833333333333333</v>
      </c>
      <c r="I118" s="131">
        <f t="shared" si="5"/>
        <v>-0.125</v>
      </c>
    </row>
    <row r="119" spans="1:9" ht="12.75">
      <c r="A119" s="130">
        <f>(A$47*A$57)+(A$48*A$58)+(A$49*A$59)+(A$50*A$60)+(A$51*A$61)+(A$52*A$62)+(A$53*A$63)</f>
        <v>41.714999999999996</v>
      </c>
      <c r="B119" t="s">
        <v>101</v>
      </c>
      <c r="H119" s="130">
        <f>(H$47*H$57)+(H$48*H$58)+(H$49*H$59)+(H$50*H$60)+(H$51*H$61)+(H$52*H$62)+(H$53*H$63)</f>
        <v>40.005</v>
      </c>
      <c r="I119" s="170">
        <f t="shared" si="5"/>
        <v>-1.7099999999999937</v>
      </c>
    </row>
    <row r="120" spans="1:9" ht="12.75">
      <c r="A120" s="121">
        <f>(A119*A116)</f>
        <v>80551.665</v>
      </c>
      <c r="B120" t="s">
        <v>102</v>
      </c>
      <c r="H120" s="121">
        <f>(H119*H116)</f>
        <v>77249.655</v>
      </c>
      <c r="I120" s="134">
        <f t="shared" si="5"/>
        <v>-3302.0099999999948</v>
      </c>
    </row>
    <row r="121" spans="1:9" ht="12.75">
      <c r="A121" s="121">
        <f>A102-A120-A78</f>
        <v>57336.035272788286</v>
      </c>
      <c r="B121" t="s">
        <v>806</v>
      </c>
      <c r="H121" s="121">
        <f>A102-H120-H78</f>
        <v>60566.326513308544</v>
      </c>
      <c r="I121" s="134">
        <f t="shared" si="5"/>
        <v>3230.2912405202587</v>
      </c>
    </row>
    <row r="122" spans="1:9" ht="12.75">
      <c r="A122" s="79"/>
      <c r="B122" s="78"/>
      <c r="C122" s="78"/>
      <c r="D122" s="78"/>
      <c r="E122" s="78"/>
      <c r="F122" s="78"/>
      <c r="G122" s="78"/>
      <c r="H122" s="79"/>
      <c r="I122" s="79"/>
    </row>
    <row r="123" spans="1:9" ht="12.75">
      <c r="A123" s="133" t="str">
        <f>A3</f>
        <v>On-Farm</v>
      </c>
      <c r="B123" s="4" t="s">
        <v>949</v>
      </c>
      <c r="H123" s="133" t="str">
        <f>H3</f>
        <v>Commercial</v>
      </c>
      <c r="I123" s="133" t="str">
        <f>I3</f>
        <v>(CS-OnFS)</v>
      </c>
    </row>
    <row r="124" spans="1:9" ht="12.75">
      <c r="A124" s="120">
        <f>A90</f>
        <v>1931</v>
      </c>
      <c r="B124" t="s">
        <v>0</v>
      </c>
      <c r="H124" s="120">
        <f>A90</f>
        <v>1931</v>
      </c>
      <c r="I124" s="120">
        <f>H124-A124</f>
        <v>0</v>
      </c>
    </row>
    <row r="125" spans="1:9" ht="12.75">
      <c r="A125" s="121">
        <f>((A124*A43)*(A65+A66))+(A124*A67)</f>
        <v>142894</v>
      </c>
      <c r="B125" t="s">
        <v>186</v>
      </c>
      <c r="H125" s="121">
        <f>((H124*H43)*(H65+H66))+(H124*H67)</f>
        <v>154016.56000000003</v>
      </c>
      <c r="I125" s="134">
        <f>H125-A125</f>
        <v>11122.560000000027</v>
      </c>
    </row>
    <row r="126" spans="1:9" ht="12.75">
      <c r="A126" s="121">
        <f>A125-A78</f>
        <v>137887.70027278826</v>
      </c>
      <c r="B126" t="s">
        <v>713</v>
      </c>
      <c r="H126" s="121">
        <f>H125-H78</f>
        <v>148938.54151330856</v>
      </c>
      <c r="I126" s="134">
        <f>H126-A126</f>
        <v>11050.841240520298</v>
      </c>
    </row>
    <row r="127" spans="1:9" ht="12.75">
      <c r="A127" s="79"/>
      <c r="B127" s="78"/>
      <c r="C127" s="78"/>
      <c r="D127" s="78"/>
      <c r="E127" s="78"/>
      <c r="F127" s="78"/>
      <c r="G127" s="78"/>
      <c r="H127" s="79"/>
      <c r="I127" s="79"/>
    </row>
    <row r="128" spans="1:9" ht="12.75">
      <c r="A128" s="133" t="str">
        <f>A3</f>
        <v>On-Farm</v>
      </c>
      <c r="B128" s="4" t="s">
        <v>950</v>
      </c>
      <c r="H128" s="133" t="str">
        <f>H3</f>
        <v>Commercial</v>
      </c>
      <c r="I128" s="133" t="str">
        <f>I3</f>
        <v>(CS-OnFS)</v>
      </c>
    </row>
    <row r="129" spans="1:9" ht="12.75">
      <c r="A129" s="133"/>
      <c r="B129" s="4" t="s">
        <v>951</v>
      </c>
      <c r="H129" s="133"/>
      <c r="I129" s="133"/>
    </row>
    <row r="130" spans="1:9" ht="12.75">
      <c r="A130" s="120">
        <f>(PRODUCTION!B$126)</f>
        <v>208.57142857142858</v>
      </c>
      <c r="B130" t="s">
        <v>952</v>
      </c>
      <c r="H130" s="120">
        <f>(H$8*H$10)</f>
        <v>217.31394354148847</v>
      </c>
      <c r="I130" s="120">
        <f>H130-A130</f>
        <v>8.742514970059887</v>
      </c>
    </row>
    <row r="131" spans="1:9" ht="12.75">
      <c r="A131" s="131">
        <f>(PRODUCTION!B$130)</f>
        <v>9.500399999999999</v>
      </c>
      <c r="B131" t="s">
        <v>530</v>
      </c>
      <c r="H131" s="131">
        <f>H$12*H$13</f>
        <v>9.9645</v>
      </c>
      <c r="I131" s="40">
        <f>H98-A98</f>
        <v>0.4641000000000002</v>
      </c>
    </row>
    <row r="132" spans="1:9" ht="12.75">
      <c r="A132" s="131">
        <f>A89/A39</f>
        <v>189.95890410958904</v>
      </c>
      <c r="B132" t="s">
        <v>953</v>
      </c>
      <c r="H132" s="131">
        <f>H110/H39</f>
        <v>207.6434730538922</v>
      </c>
      <c r="I132" s="40">
        <f>H100-A100</f>
        <v>97.30999999999995</v>
      </c>
    </row>
    <row r="133" spans="1:9" ht="12.75">
      <c r="A133" s="120">
        <f>INT(PRODUCTION!B134)</f>
        <v>1981</v>
      </c>
      <c r="B133" t="s">
        <v>711</v>
      </c>
      <c r="H133" s="120">
        <f>H130*H131</f>
        <v>2165.4247904191616</v>
      </c>
      <c r="I133" s="15">
        <f aca="true" t="shared" si="6" ref="I133:I142">H133-A133</f>
        <v>184.42479041916158</v>
      </c>
    </row>
    <row r="134" spans="1:9" ht="12.75">
      <c r="A134" s="120">
        <f>(PRODUCTION!B135)</f>
        <v>1931</v>
      </c>
      <c r="B134" t="s">
        <v>103</v>
      </c>
      <c r="H134" s="120">
        <f>H133*H16</f>
        <v>2111.2891706586825</v>
      </c>
      <c r="I134" s="15">
        <f t="shared" si="6"/>
        <v>180.28917065868245</v>
      </c>
    </row>
    <row r="135" spans="1:9" ht="12.75">
      <c r="A135" s="130">
        <f>(A$47*A$57)+(A$48*A$58)+(A$49*A$59)+(A$50*A$60)+(A$51*A$61)+(A$52*A$62)+(A$53*A$63)</f>
        <v>41.714999999999996</v>
      </c>
      <c r="B135" t="s">
        <v>104</v>
      </c>
      <c r="H135" s="130">
        <f>(H$47*H$57)+(H$48*H$58)+(H$49*H$59)+(H$50*H$60)+(H$51*H$61)+(H$52*H$62)+(H$53*H$63)</f>
        <v>40.005</v>
      </c>
      <c r="I135" s="170">
        <f t="shared" si="6"/>
        <v>-1.7099999999999937</v>
      </c>
    </row>
    <row r="136" spans="1:9" ht="12.75">
      <c r="A136" s="121">
        <f>(A134*A135)</f>
        <v>80551.665</v>
      </c>
      <c r="B136" t="s">
        <v>105</v>
      </c>
      <c r="H136" s="121">
        <f>(H134*H135)</f>
        <v>84462.1232722006</v>
      </c>
      <c r="I136" s="134">
        <f t="shared" si="6"/>
        <v>3910.4582722006016</v>
      </c>
    </row>
    <row r="137" spans="1:9" ht="12.75">
      <c r="A137" s="121">
        <f>A91</f>
        <v>142894</v>
      </c>
      <c r="B137" t="s">
        <v>106</v>
      </c>
      <c r="H137" s="121">
        <f>((H134*H43)*(H65+H66))+(H134*H67)</f>
        <v>168396.42425173652</v>
      </c>
      <c r="I137" s="134">
        <f t="shared" si="6"/>
        <v>25502.42425173652</v>
      </c>
    </row>
    <row r="138" spans="1:9" ht="12.75">
      <c r="A138" s="121">
        <f>(A137-A136-A78)</f>
        <v>57336.035272788286</v>
      </c>
      <c r="B138" t="s">
        <v>806</v>
      </c>
      <c r="H138" s="121">
        <f>(H137-H136-H78)</f>
        <v>78856.28249284446</v>
      </c>
      <c r="I138" s="158">
        <f t="shared" si="6"/>
        <v>21520.247220056175</v>
      </c>
    </row>
    <row r="139" spans="1:9" ht="12.75">
      <c r="A139" s="133"/>
      <c r="B139" s="115" t="s">
        <v>183</v>
      </c>
      <c r="C139" s="124"/>
      <c r="D139" s="124"/>
      <c r="E139" s="124"/>
      <c r="F139" s="124"/>
      <c r="G139" s="124"/>
      <c r="H139" s="133"/>
      <c r="I139" s="133"/>
    </row>
    <row r="140" spans="1:9" ht="12.75">
      <c r="A140" s="121">
        <f>A91*A69</f>
        <v>643.0229999999999</v>
      </c>
      <c r="B140" s="124" t="s">
        <v>182</v>
      </c>
      <c r="C140" s="124"/>
      <c r="D140" s="124"/>
      <c r="E140" s="124"/>
      <c r="F140" s="124"/>
      <c r="G140" s="124"/>
      <c r="H140" s="134">
        <f>H137*H69</f>
        <v>757.7839091328143</v>
      </c>
      <c r="I140" s="158">
        <f t="shared" si="6"/>
        <v>114.76090913281439</v>
      </c>
    </row>
    <row r="141" spans="1:9" ht="12.75">
      <c r="A141" s="134">
        <f>A90*A43*A70</f>
        <v>1013.775</v>
      </c>
      <c r="B141" s="124" t="s">
        <v>184</v>
      </c>
      <c r="C141" s="124"/>
      <c r="D141" s="124"/>
      <c r="E141" s="124"/>
      <c r="F141" s="124"/>
      <c r="G141" s="124"/>
      <c r="H141" s="134">
        <f>H134*H43*H70</f>
        <v>1108.4268145958083</v>
      </c>
      <c r="I141" s="158">
        <f t="shared" si="6"/>
        <v>94.65181459580833</v>
      </c>
    </row>
    <row r="142" spans="1:9" ht="12.75">
      <c r="A142" s="121">
        <f>A138-A140-A141</f>
        <v>55679.23727278828</v>
      </c>
      <c r="B142" s="187" t="s">
        <v>185</v>
      </c>
      <c r="C142" s="124"/>
      <c r="D142" s="124"/>
      <c r="E142" s="124"/>
      <c r="F142" s="124"/>
      <c r="G142" s="124"/>
      <c r="H142" s="121">
        <f>H138-H140-H141</f>
        <v>76990.07176911584</v>
      </c>
      <c r="I142" s="200">
        <f t="shared" si="6"/>
        <v>21310.834496327552</v>
      </c>
    </row>
    <row r="143" spans="1:9" ht="12.75">
      <c r="A143" s="25"/>
      <c r="B143" s="23"/>
      <c r="C143" s="23"/>
      <c r="D143" s="23"/>
      <c r="E143" s="23"/>
      <c r="F143" s="23"/>
      <c r="G143" s="23"/>
      <c r="H143" s="25"/>
      <c r="I143" s="25"/>
    </row>
    <row r="144" ht="12.75">
      <c r="A144" s="54" t="s">
        <v>178</v>
      </c>
    </row>
  </sheetData>
  <sheetProtection password="C57E" sheet="1"/>
  <printOptions/>
  <pageMargins left="1" right="0.4" top="0.9" bottom="0.833333333333333" header="0.5" footer="0.333333333333333"/>
  <pageSetup fitToHeight="3" horizontalDpi="300" verticalDpi="300" orientation="portrait" scale="85" r:id="rId3"/>
  <headerFooter alignWithMargins="0">
    <oddHeader>&amp;L&amp;"Arial,Bold"&amp;14Assumptions for Comparing an On-Farm Stud to Commercial Semen&amp;R&amp;"Arial,Bold"&amp;12Page&amp;P</oddHeader>
  </headerFooter>
  <rowBreaks count="2" manualBreakCount="2">
    <brk id="44" max="8" man="1"/>
    <brk id="104" max="8" man="1"/>
  </rowBreaks>
  <colBreaks count="1" manualBreakCount="1">
    <brk id="9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7"/>
  <sheetViews>
    <sheetView showOutlineSymbols="0" workbookViewId="0" topLeftCell="A1">
      <selection activeCell="A1" sqref="A1"/>
    </sheetView>
  </sheetViews>
  <sheetFormatPr defaultColWidth="9.140625" defaultRowHeight="12.75"/>
  <cols>
    <col min="5" max="5" width="10.7109375" style="0" customWidth="1"/>
    <col min="7" max="8" width="12.28125" style="13" customWidth="1"/>
    <col min="9" max="9" width="14.28125" style="13" customWidth="1"/>
    <col min="10" max="10" width="12.28125" style="13" customWidth="1"/>
    <col min="11" max="11" width="12.28125" style="0" customWidth="1"/>
  </cols>
  <sheetData>
    <row r="1" spans="3:11" ht="15.75">
      <c r="C1" s="1" t="s">
        <v>120</v>
      </c>
      <c r="D1" s="1"/>
      <c r="G1"/>
      <c r="H1"/>
      <c r="I1"/>
      <c r="K1" s="2" t="s">
        <v>790</v>
      </c>
    </row>
    <row r="2" spans="1:11" ht="12.75">
      <c r="A2" s="23"/>
      <c r="B2" s="23"/>
      <c r="C2" s="23"/>
      <c r="D2" s="23"/>
      <c r="E2" s="23"/>
      <c r="F2" s="23"/>
      <c r="G2" s="304" t="s">
        <v>819</v>
      </c>
      <c r="H2" s="304"/>
      <c r="I2" s="304"/>
      <c r="J2" s="304"/>
      <c r="K2" s="23"/>
    </row>
    <row r="3" spans="7:10" ht="12.75">
      <c r="G3" s="118" t="s">
        <v>479</v>
      </c>
      <c r="H3" s="118" t="s">
        <v>801</v>
      </c>
      <c r="I3" s="118" t="s">
        <v>788</v>
      </c>
      <c r="J3" s="118" t="s">
        <v>108</v>
      </c>
    </row>
    <row r="4" spans="1:10" ht="12.75">
      <c r="A4" s="4" t="s">
        <v>110</v>
      </c>
      <c r="G4" s="118" t="s">
        <v>800</v>
      </c>
      <c r="H4" s="118" t="s">
        <v>800</v>
      </c>
      <c r="I4" s="118" t="s">
        <v>800</v>
      </c>
      <c r="J4" s="118" t="s">
        <v>800</v>
      </c>
    </row>
    <row r="5" spans="1:10" ht="12.75">
      <c r="A5" t="s">
        <v>518</v>
      </c>
      <c r="G5" s="13">
        <f>(OnFarmStud!E$20)</f>
        <v>365</v>
      </c>
      <c r="H5" s="13">
        <f>(Cooperative!D332)</f>
        <v>365</v>
      </c>
      <c r="I5" s="13">
        <f>(FeeForService!G$113)</f>
        <v>365</v>
      </c>
      <c r="J5" s="13">
        <f>(CommercialStud!H$4)</f>
        <v>365</v>
      </c>
    </row>
    <row r="6" spans="1:10" ht="12.75">
      <c r="A6" t="s">
        <v>111</v>
      </c>
      <c r="G6" s="41">
        <f>(OnFarmStud!E$26)</f>
        <v>10.428571428571429</v>
      </c>
      <c r="H6" s="41">
        <f>(Cooperative!D333)</f>
        <v>10.428571428571429</v>
      </c>
      <c r="I6" s="41">
        <f>(FeeForService!G$115)</f>
        <v>10.428571428571429</v>
      </c>
      <c r="J6" s="41">
        <f>(CommercialStud!H$39)</f>
        <v>10.428571428571429</v>
      </c>
    </row>
    <row r="7" spans="1:10" ht="12.75">
      <c r="A7" t="s">
        <v>112</v>
      </c>
      <c r="G7" s="15">
        <f>(OnFarmStud!E$23)</f>
        <v>23.952095808383234</v>
      </c>
      <c r="H7" s="15">
        <f>(Cooperative!D334)</f>
        <v>23.952095808383234</v>
      </c>
      <c r="I7" s="15">
        <f>(FeeForService!G$116)</f>
        <v>23.952095808383234</v>
      </c>
      <c r="J7" s="15">
        <f>(CommercialStud!H$6)</f>
        <v>23.952095808383234</v>
      </c>
    </row>
    <row r="8" spans="1:10" ht="12.75">
      <c r="A8" t="s">
        <v>113</v>
      </c>
      <c r="G8" s="15">
        <f>(OnFarmStud!E$25)</f>
        <v>47.90419161676647</v>
      </c>
      <c r="H8" s="15">
        <f>(Cooperative!D335)</f>
        <v>47.90419161676647</v>
      </c>
      <c r="I8" s="15">
        <f>(FeeForService!G$117)</f>
        <v>47.90419161676647</v>
      </c>
      <c r="J8" s="15">
        <f>(CommercialStud!H$7)</f>
        <v>47.90419161676647</v>
      </c>
    </row>
    <row r="9" spans="1:10" ht="12.75">
      <c r="A9" t="s">
        <v>114</v>
      </c>
      <c r="G9" s="15">
        <f>(OnFarmStud!E$30)</f>
        <v>499.57228400342177</v>
      </c>
      <c r="H9" s="15">
        <f>(Cooperative!D336)</f>
        <v>499.57228400342177</v>
      </c>
      <c r="I9" s="15">
        <f>(FeeForService!G$118)</f>
        <v>499.57228400342177</v>
      </c>
      <c r="J9" s="15">
        <f>(CommercialStud!H$9)</f>
        <v>500</v>
      </c>
    </row>
    <row r="10" spans="1:10" ht="12.75">
      <c r="A10" t="s">
        <v>115</v>
      </c>
      <c r="G10" s="15">
        <f>(OnFarmStud!E$29)</f>
        <v>249.78614200171089</v>
      </c>
      <c r="H10" s="15">
        <f>(Cooperative!D337)</f>
        <v>249.78614200171089</v>
      </c>
      <c r="I10" s="15">
        <f>(FeeForService!G$119)</f>
        <v>249.78614200171089</v>
      </c>
      <c r="J10" s="15">
        <f>(CommercialStud!H$8)</f>
        <v>249.78614200171089</v>
      </c>
    </row>
    <row r="11" spans="1:10" ht="12.75">
      <c r="A11" t="s">
        <v>116</v>
      </c>
      <c r="G11" s="15">
        <f>(OnFarmStud!E$31)</f>
        <v>208.57142857142858</v>
      </c>
      <c r="H11" s="15">
        <f>(Cooperative!D338)</f>
        <v>208.57142857142858</v>
      </c>
      <c r="I11" s="15">
        <f>(FeeForService!G$120)</f>
        <v>208.57142857142858</v>
      </c>
      <c r="J11" s="15">
        <f>(CommercialStud!A$11)</f>
        <v>208.57142857142858</v>
      </c>
    </row>
    <row r="12" spans="1:10" ht="12.75">
      <c r="A12" t="s">
        <v>959</v>
      </c>
      <c r="G12" s="15">
        <f>INT(OnFarmStud!E$34)</f>
        <v>1981</v>
      </c>
      <c r="H12" s="13">
        <f>(Cooperative!D339)</f>
        <v>1981</v>
      </c>
      <c r="I12" s="15">
        <f>INT(FeeForService!G$121)</f>
        <v>1981</v>
      </c>
      <c r="J12" s="15">
        <f>INT(CommercialStud!A$14)</f>
        <v>1981</v>
      </c>
    </row>
    <row r="13" spans="1:10" ht="12.75">
      <c r="A13" t="s">
        <v>103</v>
      </c>
      <c r="G13" s="117">
        <f>(OnFarmStud!E35)</f>
        <v>1931</v>
      </c>
      <c r="H13" s="13">
        <f>(Cooperative!D340)</f>
        <v>1931</v>
      </c>
      <c r="I13" s="117">
        <f>(FeeForService!G122)</f>
        <v>1931</v>
      </c>
      <c r="J13" s="120">
        <f>(CommercialStud!A17)</f>
        <v>1931</v>
      </c>
    </row>
    <row r="14" spans="1:10" ht="12.75">
      <c r="A14" t="s">
        <v>117</v>
      </c>
      <c r="G14" s="117">
        <f>(OnFarmStud!E14)</f>
        <v>250</v>
      </c>
      <c r="H14" s="117">
        <f>(Cooperative!E15)</f>
        <v>250</v>
      </c>
      <c r="I14" s="117">
        <f>(FeeForService!A145)</f>
        <v>250</v>
      </c>
      <c r="J14" s="117">
        <f>(CommercialStud!H43)</f>
        <v>250</v>
      </c>
    </row>
    <row r="15" spans="1:10" ht="12.75">
      <c r="A15" t="s">
        <v>118</v>
      </c>
      <c r="G15" s="166">
        <f>(OnFarmStud!E15)</f>
        <v>0.28</v>
      </c>
      <c r="H15" s="166">
        <f>(Cooperative!E16)</f>
        <v>0.28</v>
      </c>
      <c r="I15" s="166">
        <f>(FeeForService!A146)</f>
        <v>0.28</v>
      </c>
      <c r="J15" s="166">
        <f>(CommercialStud!A65)</f>
        <v>0.28</v>
      </c>
    </row>
    <row r="16" spans="1:10" ht="12.75">
      <c r="A16" s="115" t="s">
        <v>1</v>
      </c>
      <c r="G16" s="190">
        <f>(OnFarmStud!D355)</f>
        <v>10.569140635463192</v>
      </c>
      <c r="H16" s="190">
        <f>(Cooperative!D370)</f>
        <v>10.810869954289682</v>
      </c>
      <c r="I16" s="190">
        <f>(FeeForService!F136)</f>
        <v>14.418949771689496</v>
      </c>
      <c r="J16" s="190">
        <f>(CommercialStud!H80)</f>
        <v>10.15603697338292</v>
      </c>
    </row>
    <row r="17" spans="1:10" ht="12.75">
      <c r="A17" t="s">
        <v>119</v>
      </c>
      <c r="G17" s="121">
        <f>(OnFarmStud!D334)</f>
        <v>5006.299727211724</v>
      </c>
      <c r="H17" s="121">
        <f>(Cooperative!D381)</f>
        <v>5400.810995128464</v>
      </c>
      <c r="I17" s="121">
        <f>(FeeForService!F131)</f>
        <v>7518.45238095238</v>
      </c>
      <c r="J17" s="121">
        <f>(CommercialStud!H78)</f>
        <v>5078.01848669146</v>
      </c>
    </row>
    <row r="18" spans="1:10" ht="12.75">
      <c r="A18" t="s">
        <v>818</v>
      </c>
      <c r="G18" s="121">
        <f>(OnFarmStud!D371)</f>
        <v>135170</v>
      </c>
      <c r="H18" s="121">
        <f>(Cooperative!D387)</f>
        <v>135170</v>
      </c>
      <c r="I18" s="121">
        <f>(I13*I14*I15)</f>
        <v>135170</v>
      </c>
      <c r="J18" s="121">
        <f>(J13*J14*J15)</f>
        <v>135170</v>
      </c>
    </row>
    <row r="19" spans="1:10" ht="12.75">
      <c r="A19" t="s">
        <v>713</v>
      </c>
      <c r="G19" s="121">
        <f>G18-G17</f>
        <v>130163.70027278828</v>
      </c>
      <c r="H19" s="121">
        <f>H18-H17</f>
        <v>129769.18900487153</v>
      </c>
      <c r="I19" s="121">
        <f>I18-I17</f>
        <v>127651.54761904762</v>
      </c>
      <c r="J19" s="121">
        <f>J18-J17</f>
        <v>130091.98151330854</v>
      </c>
    </row>
    <row r="20" spans="1:11" ht="12.75">
      <c r="A20" s="23"/>
      <c r="B20" s="23"/>
      <c r="C20" s="23"/>
      <c r="D20" s="23"/>
      <c r="E20" s="23"/>
      <c r="F20" s="23"/>
      <c r="G20" s="25"/>
      <c r="H20" s="25"/>
      <c r="I20" s="25"/>
      <c r="J20" s="25"/>
      <c r="K20" s="23"/>
    </row>
    <row r="21" spans="1:10" ht="12.75">
      <c r="A21" s="4" t="s">
        <v>805</v>
      </c>
      <c r="H21" s="14"/>
      <c r="I21" s="117"/>
      <c r="J21" s="117"/>
    </row>
    <row r="22" spans="9:11" ht="12.75">
      <c r="I22" s="118" t="s">
        <v>479</v>
      </c>
      <c r="J22" s="118" t="s">
        <v>108</v>
      </c>
      <c r="K22" s="167" t="s">
        <v>109</v>
      </c>
    </row>
    <row r="23" spans="9:11" ht="12.75">
      <c r="I23" s="118" t="str">
        <f>G4</f>
        <v>Semen</v>
      </c>
      <c r="J23" s="118" t="str">
        <f>J4</f>
        <v>Semen</v>
      </c>
      <c r="K23" s="114" t="s">
        <v>456</v>
      </c>
    </row>
    <row r="24" spans="1:11" ht="12.75">
      <c r="A24" t="s">
        <v>812</v>
      </c>
      <c r="I24" s="27">
        <f>(CommercialStud!A92)</f>
        <v>137887.70027278826</v>
      </c>
      <c r="J24" s="27">
        <f>(CommercialStud!H92)</f>
        <v>143552.8423276798</v>
      </c>
      <c r="K24" s="27">
        <f aca="true" t="shared" si="0" ref="K24:K29">J24-I24</f>
        <v>5665.142054891534</v>
      </c>
    </row>
    <row r="25" spans="1:11" ht="12.75">
      <c r="A25" t="s">
        <v>813</v>
      </c>
      <c r="I25" s="27">
        <f>CommercialStud!A103</f>
        <v>137887.70027278826</v>
      </c>
      <c r="J25" s="27">
        <f>(CommercialStud!H103)</f>
        <v>144490.63901330854</v>
      </c>
      <c r="K25" s="27">
        <f t="shared" si="0"/>
        <v>6602.938740520272</v>
      </c>
    </row>
    <row r="26" spans="1:11" ht="12.75">
      <c r="A26" t="s">
        <v>810</v>
      </c>
      <c r="I26" s="27">
        <f>(CommercialStud!A113)</f>
        <v>137887.70027278826</v>
      </c>
      <c r="J26" s="27">
        <f>(CommercialStud!H113)</f>
        <v>150436.22345941633</v>
      </c>
      <c r="K26" s="27">
        <f t="shared" si="0"/>
        <v>12548.523186628066</v>
      </c>
    </row>
    <row r="27" spans="1:11" ht="12.75">
      <c r="A27" t="s">
        <v>814</v>
      </c>
      <c r="I27" s="27">
        <f>(CommercialStud!A121)</f>
        <v>57336.035272788286</v>
      </c>
      <c r="J27" s="27">
        <f>(CommercialStud!H121)</f>
        <v>60566.326513308544</v>
      </c>
      <c r="K27" s="27">
        <f t="shared" si="0"/>
        <v>3230.2912405202587</v>
      </c>
    </row>
    <row r="28" spans="1:11" ht="12.75">
      <c r="A28" t="s">
        <v>809</v>
      </c>
      <c r="I28" s="27">
        <f>(CommercialStud!A126)</f>
        <v>137887.70027278826</v>
      </c>
      <c r="J28" s="27">
        <f>(CommercialStud!H126)</f>
        <v>148938.54151330856</v>
      </c>
      <c r="K28" s="27">
        <f t="shared" si="0"/>
        <v>11050.841240520298</v>
      </c>
    </row>
    <row r="29" spans="1:11" ht="12.75">
      <c r="A29" t="s">
        <v>811</v>
      </c>
      <c r="I29" s="27">
        <f>(CommercialStud!A138)</f>
        <v>57336.035272788286</v>
      </c>
      <c r="J29" s="27">
        <f>(CommercialStud!H138)</f>
        <v>78856.28249284446</v>
      </c>
      <c r="K29" s="27">
        <f t="shared" si="0"/>
        <v>21520.247220056175</v>
      </c>
    </row>
    <row r="30" spans="1:11" ht="12.75">
      <c r="A30" s="23"/>
      <c r="B30" s="23"/>
      <c r="C30" s="23"/>
      <c r="D30" s="23"/>
      <c r="E30" s="23"/>
      <c r="F30" s="23"/>
      <c r="G30" s="25"/>
      <c r="H30" s="25"/>
      <c r="I30" s="25"/>
      <c r="J30" s="25"/>
      <c r="K30" s="23"/>
    </row>
    <row r="31" ht="12.75">
      <c r="A31" s="4" t="s">
        <v>789</v>
      </c>
    </row>
    <row r="32" spans="8:10" ht="12.75">
      <c r="H32" s="21" t="s">
        <v>479</v>
      </c>
      <c r="I32" s="21" t="s">
        <v>121</v>
      </c>
      <c r="J32" s="114" t="s">
        <v>109</v>
      </c>
    </row>
    <row r="33" spans="8:10" ht="12.75">
      <c r="H33" s="21" t="s">
        <v>732</v>
      </c>
      <c r="I33" s="21" t="s">
        <v>732</v>
      </c>
      <c r="J33" s="114" t="s">
        <v>343</v>
      </c>
    </row>
    <row r="34" spans="1:10" ht="12.75">
      <c r="A34" t="s">
        <v>807</v>
      </c>
      <c r="H34" s="27">
        <f>(FeeForService!A164)</f>
        <v>137887.70027278826</v>
      </c>
      <c r="I34" s="27">
        <f>(FeeForService!H164)</f>
        <v>141440.229051383</v>
      </c>
      <c r="J34" s="27">
        <f>I34-H34</f>
        <v>3552.528778594744</v>
      </c>
    </row>
    <row r="35" spans="1:10" ht="12.75">
      <c r="A35" t="s">
        <v>808</v>
      </c>
      <c r="H35" s="27">
        <f>I25</f>
        <v>137887.70027278826</v>
      </c>
      <c r="I35" s="27">
        <f>(FeeForService!H171)</f>
        <v>141746.91061904765</v>
      </c>
      <c r="J35" s="27">
        <f>I35-H35</f>
        <v>3859.2103462593805</v>
      </c>
    </row>
    <row r="36" spans="1:10" ht="12.75">
      <c r="A36" t="s">
        <v>817</v>
      </c>
      <c r="H36" s="27">
        <f>I26</f>
        <v>137887.70027278826</v>
      </c>
      <c r="I36" s="27">
        <f>(FeeForService!H179)</f>
        <v>148003.54260108358</v>
      </c>
      <c r="J36" s="27">
        <f>I36-H36</f>
        <v>10115.842328295315</v>
      </c>
    </row>
    <row r="37" spans="1:11" ht="12.75">
      <c r="A37" s="23"/>
      <c r="B37" s="23"/>
      <c r="C37" s="23"/>
      <c r="D37" s="23"/>
      <c r="E37" s="23"/>
      <c r="F37" s="23"/>
      <c r="G37" s="25"/>
      <c r="H37" s="25"/>
      <c r="I37" s="25"/>
      <c r="J37" s="25"/>
      <c r="K37" s="23"/>
    </row>
  </sheetData>
  <sheetProtection password="C57E" sheet="1"/>
  <mergeCells count="1">
    <mergeCell ref="G2:J2"/>
  </mergeCells>
  <printOptions/>
  <pageMargins left="1" right="0.4" top="0.9" bottom="0.8333333333333334" header="0.5" footer="0.33333333333333337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53"/>
  <sheetViews>
    <sheetView showOutlineSymbols="0" workbookViewId="0" topLeftCell="A1">
      <selection activeCell="A1" sqref="A1"/>
    </sheetView>
  </sheetViews>
  <sheetFormatPr defaultColWidth="9.140625" defaultRowHeight="12.75"/>
  <cols>
    <col min="1" max="1" width="36.140625" style="0" bestFit="1" customWidth="1"/>
    <col min="2" max="3" width="9.7109375" style="0" customWidth="1"/>
    <col min="4" max="4" width="12.00390625" style="0" bestFit="1" customWidth="1"/>
    <col min="5" max="5" width="15.421875" style="0" bestFit="1" customWidth="1"/>
    <col min="6" max="6" width="12.00390625" style="0" customWidth="1"/>
    <col min="7" max="7" width="11.421875" style="0" customWidth="1"/>
    <col min="8" max="8" width="10.7109375" style="0" customWidth="1"/>
    <col min="9" max="9" width="10.8515625" style="0" customWidth="1"/>
    <col min="11" max="11" width="12.00390625" style="0" customWidth="1"/>
    <col min="12" max="15" width="12.00390625" style="13" customWidth="1"/>
    <col min="16" max="16" width="10.7109375" style="13" customWidth="1"/>
    <col min="17" max="20" width="10.7109375" style="0" customWidth="1"/>
    <col min="22" max="23" width="13.140625" style="13" customWidth="1"/>
    <col min="24" max="25" width="10.7109375" style="0" customWidth="1"/>
  </cols>
  <sheetData>
    <row r="1" spans="1:11" ht="12.75">
      <c r="A1" t="s">
        <v>122</v>
      </c>
      <c r="B1" s="135" t="s">
        <v>196</v>
      </c>
      <c r="C1" s="136"/>
      <c r="D1" s="66"/>
      <c r="F1" s="8"/>
      <c r="G1" s="13"/>
      <c r="J1" s="13"/>
      <c r="K1" s="13"/>
    </row>
    <row r="2" spans="1:11" ht="12.75">
      <c r="A2" t="s">
        <v>123</v>
      </c>
      <c r="B2" s="135" t="s">
        <v>197</v>
      </c>
      <c r="C2" s="136"/>
      <c r="D2" s="66"/>
      <c r="F2" s="8"/>
      <c r="G2" s="13"/>
      <c r="J2" s="13"/>
      <c r="K2" s="13"/>
    </row>
    <row r="3" spans="1:11" ht="12.75">
      <c r="A3" t="s">
        <v>124</v>
      </c>
      <c r="B3" s="135" t="s">
        <v>198</v>
      </c>
      <c r="C3" s="136"/>
      <c r="D3" s="66"/>
      <c r="F3" s="8"/>
      <c r="G3" s="13"/>
      <c r="J3" s="13"/>
      <c r="K3" s="13"/>
    </row>
    <row r="4" spans="1:11" ht="12.75">
      <c r="A4" t="s">
        <v>775</v>
      </c>
      <c r="B4" s="135" t="s">
        <v>776</v>
      </c>
      <c r="C4" s="136"/>
      <c r="D4" s="66"/>
      <c r="F4" s="8"/>
      <c r="G4" s="117"/>
      <c r="J4" s="13"/>
      <c r="K4" s="13"/>
    </row>
    <row r="5" spans="1:11" ht="12.75">
      <c r="A5" t="s">
        <v>125</v>
      </c>
      <c r="B5" s="135" t="s">
        <v>199</v>
      </c>
      <c r="C5" s="136"/>
      <c r="D5" s="74"/>
      <c r="F5" s="8"/>
      <c r="G5" s="117"/>
      <c r="J5" s="13"/>
      <c r="K5" s="13"/>
    </row>
    <row r="6" spans="1:11" ht="12.75">
      <c r="A6" s="23"/>
      <c r="B6" s="23"/>
      <c r="C6" s="23"/>
      <c r="D6" s="59"/>
      <c r="E6" s="25"/>
      <c r="F6" s="25"/>
      <c r="G6" s="117"/>
      <c r="J6" s="13"/>
      <c r="K6" s="13"/>
    </row>
    <row r="7" spans="1:23" ht="12.75">
      <c r="A7" s="305" t="s">
        <v>346</v>
      </c>
      <c r="B7" s="306"/>
      <c r="C7" s="92" t="s">
        <v>479</v>
      </c>
      <c r="D7" s="92" t="s">
        <v>801</v>
      </c>
      <c r="E7" s="92" t="s">
        <v>802</v>
      </c>
      <c r="F7" s="92" t="s">
        <v>108</v>
      </c>
      <c r="G7" s="116"/>
      <c r="I7" s="13"/>
      <c r="J7" s="13"/>
      <c r="K7" s="13"/>
      <c r="P7"/>
      <c r="U7" s="13"/>
      <c r="W7"/>
    </row>
    <row r="8" spans="3:23" ht="12.75">
      <c r="C8" s="92" t="s">
        <v>800</v>
      </c>
      <c r="D8" s="92" t="s">
        <v>800</v>
      </c>
      <c r="E8" s="92" t="s">
        <v>800</v>
      </c>
      <c r="F8" s="92" t="s">
        <v>800</v>
      </c>
      <c r="I8" s="13"/>
      <c r="J8" s="13"/>
      <c r="K8" s="13"/>
      <c r="P8"/>
      <c r="U8" s="13"/>
      <c r="W8"/>
    </row>
    <row r="9" spans="1:23" ht="12.75">
      <c r="A9" s="21" t="s">
        <v>195</v>
      </c>
      <c r="C9" s="92" t="s">
        <v>732</v>
      </c>
      <c r="D9" s="92" t="s">
        <v>732</v>
      </c>
      <c r="E9" s="92" t="s">
        <v>732</v>
      </c>
      <c r="F9" s="92" t="s">
        <v>732</v>
      </c>
      <c r="I9" s="13"/>
      <c r="J9" s="13"/>
      <c r="K9" s="13"/>
      <c r="P9"/>
      <c r="U9" s="13"/>
      <c r="W9"/>
    </row>
    <row r="10" spans="1:23" ht="12.75">
      <c r="A10" s="23"/>
      <c r="B10" s="23"/>
      <c r="C10" s="23"/>
      <c r="D10" s="23"/>
      <c r="E10" s="23"/>
      <c r="F10" s="23"/>
      <c r="I10" s="13"/>
      <c r="J10" s="13"/>
      <c r="K10" s="13"/>
      <c r="P10"/>
      <c r="U10" s="13"/>
      <c r="W10"/>
    </row>
    <row r="11" spans="1:23" ht="12.75">
      <c r="A11" s="4" t="s">
        <v>126</v>
      </c>
      <c r="I11" s="13"/>
      <c r="J11" s="13"/>
      <c r="K11" s="13"/>
      <c r="P11"/>
      <c r="U11" s="13"/>
      <c r="W11"/>
    </row>
    <row r="12" spans="1:23" ht="12.75">
      <c r="A12" t="s">
        <v>128</v>
      </c>
      <c r="C12" s="163">
        <f>PRODUCTION!B18</f>
        <v>0.4</v>
      </c>
      <c r="D12" s="163">
        <f>C12</f>
        <v>0.4</v>
      </c>
      <c r="E12" s="163">
        <f>C12</f>
        <v>0.4</v>
      </c>
      <c r="F12" s="163">
        <f>C12</f>
        <v>0.4</v>
      </c>
      <c r="I12" s="13"/>
      <c r="J12" s="13"/>
      <c r="K12" s="13"/>
      <c r="P12"/>
      <c r="U12" s="13"/>
      <c r="W12"/>
    </row>
    <row r="13" spans="1:23" ht="12.75">
      <c r="A13" t="s">
        <v>129</v>
      </c>
      <c r="C13" s="68">
        <v>0.75</v>
      </c>
      <c r="D13" s="68">
        <v>0.75</v>
      </c>
      <c r="E13" s="68">
        <v>0.75</v>
      </c>
      <c r="F13" s="68">
        <v>0.75</v>
      </c>
      <c r="I13" s="13"/>
      <c r="J13" s="13"/>
      <c r="K13" s="13"/>
      <c r="P13"/>
      <c r="U13" s="13"/>
      <c r="W13"/>
    </row>
    <row r="14" spans="1:23" ht="12.75">
      <c r="A14" t="s">
        <v>130</v>
      </c>
      <c r="C14" s="68">
        <v>0.5</v>
      </c>
      <c r="D14" s="68">
        <v>0.5</v>
      </c>
      <c r="E14" s="68">
        <v>0.5</v>
      </c>
      <c r="F14" s="68">
        <v>0.5</v>
      </c>
      <c r="I14" s="13"/>
      <c r="J14" s="13"/>
      <c r="K14" s="13"/>
      <c r="P14"/>
      <c r="U14" s="13"/>
      <c r="W14"/>
    </row>
    <row r="15" spans="1:23" ht="12.75">
      <c r="A15" t="s">
        <v>131</v>
      </c>
      <c r="C15" s="81">
        <v>150</v>
      </c>
      <c r="D15" s="81">
        <v>150</v>
      </c>
      <c r="E15" s="81">
        <v>150</v>
      </c>
      <c r="F15" s="81">
        <v>150</v>
      </c>
      <c r="I15" s="13"/>
      <c r="J15" s="13"/>
      <c r="K15" s="13"/>
      <c r="P15"/>
      <c r="U15" s="13"/>
      <c r="W15"/>
    </row>
    <row r="16" spans="1:23" ht="12.75">
      <c r="A16" t="s">
        <v>799</v>
      </c>
      <c r="C16" s="66">
        <v>250</v>
      </c>
      <c r="D16" s="66">
        <v>250</v>
      </c>
      <c r="E16" s="66">
        <v>250</v>
      </c>
      <c r="F16" s="66">
        <v>250</v>
      </c>
      <c r="I16" s="13"/>
      <c r="J16" s="13"/>
      <c r="K16" s="13"/>
      <c r="P16"/>
      <c r="U16" s="13"/>
      <c r="W16"/>
    </row>
    <row r="17" spans="1:23" ht="12.75">
      <c r="A17" t="s">
        <v>132</v>
      </c>
      <c r="C17" s="66">
        <v>28</v>
      </c>
      <c r="D17" s="66">
        <v>28</v>
      </c>
      <c r="E17" s="66">
        <v>28</v>
      </c>
      <c r="F17" s="66">
        <v>28</v>
      </c>
      <c r="I17" s="13"/>
      <c r="J17" s="13"/>
      <c r="K17" s="13"/>
      <c r="P17"/>
      <c r="U17" s="13"/>
      <c r="W17"/>
    </row>
    <row r="18" spans="1:23" ht="12.75">
      <c r="A18" t="s">
        <v>133</v>
      </c>
      <c r="C18" s="153">
        <f>PRODUCTION!B21</f>
        <v>7</v>
      </c>
      <c r="D18" s="153">
        <f>C18</f>
        <v>7</v>
      </c>
      <c r="E18" s="153">
        <f>C18</f>
        <v>7</v>
      </c>
      <c r="F18" s="153">
        <f>C18</f>
        <v>7</v>
      </c>
      <c r="I18" s="13"/>
      <c r="J18" s="13"/>
      <c r="K18" s="13"/>
      <c r="P18"/>
      <c r="U18" s="13"/>
      <c r="W18"/>
    </row>
    <row r="19" spans="1:23" ht="12.75">
      <c r="A19" t="s">
        <v>134</v>
      </c>
      <c r="C19" s="151">
        <f>PRODUCTION!B45</f>
        <v>60</v>
      </c>
      <c r="D19" s="151">
        <f>C19</f>
        <v>60</v>
      </c>
      <c r="E19" s="151">
        <f>C19</f>
        <v>60</v>
      </c>
      <c r="F19" s="151">
        <f>C19</f>
        <v>60</v>
      </c>
      <c r="I19" s="13"/>
      <c r="J19" s="13"/>
      <c r="K19" s="13"/>
      <c r="P19"/>
      <c r="U19" s="13"/>
      <c r="W19"/>
    </row>
    <row r="20" spans="1:23" ht="12.75">
      <c r="A20" t="s">
        <v>135</v>
      </c>
      <c r="C20" s="68">
        <v>0.05</v>
      </c>
      <c r="D20" s="68">
        <v>0.05</v>
      </c>
      <c r="E20" s="68">
        <v>0.05</v>
      </c>
      <c r="F20" s="68">
        <v>0.05</v>
      </c>
      <c r="I20" s="13"/>
      <c r="J20" s="13"/>
      <c r="K20" s="13"/>
      <c r="P20"/>
      <c r="U20" s="13"/>
      <c r="W20"/>
    </row>
    <row r="21" spans="1:23" ht="12.75">
      <c r="A21" t="s">
        <v>136</v>
      </c>
      <c r="C21" s="66">
        <v>100</v>
      </c>
      <c r="D21" s="66">
        <v>100</v>
      </c>
      <c r="E21" s="66">
        <v>100</v>
      </c>
      <c r="F21" s="66">
        <v>100</v>
      </c>
      <c r="I21" s="13"/>
      <c r="J21" s="13"/>
      <c r="K21" s="13"/>
      <c r="P21"/>
      <c r="U21" s="13"/>
      <c r="W21"/>
    </row>
    <row r="22" spans="1:23" ht="12.75">
      <c r="A22" s="4" t="s">
        <v>137</v>
      </c>
      <c r="C22" s="16"/>
      <c r="D22" s="16"/>
      <c r="E22" s="16"/>
      <c r="F22" s="16"/>
      <c r="I22" s="13"/>
      <c r="J22" s="13"/>
      <c r="K22" s="13"/>
      <c r="P22"/>
      <c r="U22" s="13"/>
      <c r="W22"/>
    </row>
    <row r="23" spans="1:23" ht="12.75">
      <c r="A23" t="s">
        <v>138</v>
      </c>
      <c r="C23" s="153">
        <f>PRODUCTION!B26</f>
        <v>35</v>
      </c>
      <c r="D23" s="153">
        <f>C23</f>
        <v>35</v>
      </c>
      <c r="E23" s="153">
        <f>C23</f>
        <v>35</v>
      </c>
      <c r="F23" s="153">
        <f>C23</f>
        <v>35</v>
      </c>
      <c r="I23" s="13"/>
      <c r="J23" s="13"/>
      <c r="K23" s="13"/>
      <c r="P23"/>
      <c r="U23" s="13"/>
      <c r="W23"/>
    </row>
    <row r="24" spans="1:23" ht="12.75">
      <c r="A24" t="s">
        <v>139</v>
      </c>
      <c r="C24" s="151">
        <f>PRODUCTION!B102</f>
        <v>108.76925600853089</v>
      </c>
      <c r="D24" s="151">
        <f>C24</f>
        <v>108.76925600853089</v>
      </c>
      <c r="E24" s="151">
        <f>FeeForService!G114</f>
        <v>108.76925600853089</v>
      </c>
      <c r="F24" s="151">
        <f>C24</f>
        <v>108.76925600853089</v>
      </c>
      <c r="I24" s="13"/>
      <c r="J24" s="13"/>
      <c r="K24" s="13"/>
      <c r="P24"/>
      <c r="U24" s="13"/>
      <c r="W24"/>
    </row>
    <row r="25" spans="1:23" ht="12.75">
      <c r="A25" t="s">
        <v>140</v>
      </c>
      <c r="C25" s="151">
        <f>PRODUCTION!B126</f>
        <v>208.57142857142858</v>
      </c>
      <c r="D25" s="151">
        <f>Cooperative!D338</f>
        <v>208.57142857142858</v>
      </c>
      <c r="E25" s="151">
        <f>FeeForService!H160</f>
        <v>217.31394354148847</v>
      </c>
      <c r="F25" s="151">
        <f>CommercialStud!H11</f>
        <v>217.31394354148847</v>
      </c>
      <c r="I25" s="13"/>
      <c r="J25" s="13"/>
      <c r="K25" s="13"/>
      <c r="P25"/>
      <c r="U25" s="13"/>
      <c r="W25"/>
    </row>
    <row r="26" spans="1:23" ht="12.75">
      <c r="A26" t="s">
        <v>778</v>
      </c>
      <c r="C26" s="163">
        <f>PRODUCTION!B17</f>
        <v>0.835</v>
      </c>
      <c r="D26" s="163">
        <f>PRODUCTION!C17</f>
        <v>0.835</v>
      </c>
      <c r="E26" s="163">
        <f>FeeForService!A147</f>
        <v>0.87</v>
      </c>
      <c r="F26" s="163">
        <f>CommercialStud!H10</f>
        <v>0.87</v>
      </c>
      <c r="I26" s="13"/>
      <c r="J26" s="13"/>
      <c r="K26" s="13"/>
      <c r="P26"/>
      <c r="U26" s="13"/>
      <c r="W26"/>
    </row>
    <row r="27" spans="1:23" ht="12.75">
      <c r="A27" t="s">
        <v>141</v>
      </c>
      <c r="C27" s="161">
        <f>PRODUCTION!B128</f>
        <v>10.44</v>
      </c>
      <c r="D27" s="161">
        <f>PRODUCTION!B128</f>
        <v>10.44</v>
      </c>
      <c r="E27" s="161">
        <f>FeeForService!A149</f>
        <v>10.9</v>
      </c>
      <c r="F27" s="161">
        <f>CommercialStud!H12</f>
        <v>10.95</v>
      </c>
      <c r="I27" s="13"/>
      <c r="J27" s="13"/>
      <c r="K27" s="13"/>
      <c r="P27"/>
      <c r="U27" s="13"/>
      <c r="W27"/>
    </row>
    <row r="28" spans="1:23" ht="12.75">
      <c r="A28" t="s">
        <v>142</v>
      </c>
      <c r="C28" s="161">
        <f>PRODUCTION!B130</f>
        <v>9.500399999999999</v>
      </c>
      <c r="D28" s="161">
        <f>PRODUCTION!C130</f>
        <v>9.500399999999997</v>
      </c>
      <c r="E28" s="161">
        <f>(FeeForService!A149)*(FeeForService!A151)</f>
        <v>9.919</v>
      </c>
      <c r="F28" s="161">
        <f>(CommercialStud!H12)*(CommercialStud!H13)</f>
        <v>9.9645</v>
      </c>
      <c r="I28" s="13"/>
      <c r="J28" s="13"/>
      <c r="K28" s="13"/>
      <c r="P28"/>
      <c r="U28" s="13"/>
      <c r="W28"/>
    </row>
    <row r="29" spans="1:23" ht="12.75">
      <c r="A29" t="s">
        <v>143</v>
      </c>
      <c r="C29" s="66">
        <v>16</v>
      </c>
      <c r="D29" s="66">
        <v>16</v>
      </c>
      <c r="E29" s="66">
        <v>16</v>
      </c>
      <c r="F29" s="66">
        <v>16</v>
      </c>
      <c r="I29" s="13"/>
      <c r="J29" s="13"/>
      <c r="K29" s="13"/>
      <c r="P29"/>
      <c r="U29" s="13"/>
      <c r="W29"/>
    </row>
    <row r="30" spans="1:23" ht="12.75">
      <c r="A30" s="4" t="s">
        <v>144</v>
      </c>
      <c r="C30" s="16"/>
      <c r="D30" s="16"/>
      <c r="E30" s="16"/>
      <c r="F30" s="16"/>
      <c r="I30" s="13"/>
      <c r="J30" s="13"/>
      <c r="K30" s="13"/>
      <c r="P30"/>
      <c r="U30" s="13"/>
      <c r="W30"/>
    </row>
    <row r="31" spans="1:23" ht="12.75">
      <c r="A31" t="s">
        <v>145</v>
      </c>
      <c r="C31" s="68">
        <v>0.01</v>
      </c>
      <c r="D31" s="68">
        <v>0.01</v>
      </c>
      <c r="E31" s="68">
        <v>0.01</v>
      </c>
      <c r="F31" s="68">
        <v>0.01</v>
      </c>
      <c r="I31" s="13"/>
      <c r="J31" s="13"/>
      <c r="K31" s="13"/>
      <c r="P31"/>
      <c r="U31" s="13"/>
      <c r="W31"/>
    </row>
    <row r="32" spans="1:23" ht="12.75">
      <c r="A32" t="s">
        <v>146</v>
      </c>
      <c r="C32" s="66">
        <v>400</v>
      </c>
      <c r="D32" s="66">
        <v>400</v>
      </c>
      <c r="E32" s="66">
        <v>400</v>
      </c>
      <c r="F32" s="66">
        <v>400</v>
      </c>
      <c r="I32" s="13"/>
      <c r="J32" s="13"/>
      <c r="K32" s="13"/>
      <c r="P32"/>
      <c r="U32" s="13"/>
      <c r="W32"/>
    </row>
    <row r="33" spans="1:23" ht="12.75">
      <c r="A33" s="4" t="s">
        <v>147</v>
      </c>
      <c r="C33" s="16"/>
      <c r="D33" s="16"/>
      <c r="E33" s="16"/>
      <c r="F33" s="16"/>
      <c r="I33" s="13"/>
      <c r="J33" s="13"/>
      <c r="K33" s="13"/>
      <c r="P33"/>
      <c r="U33" s="13"/>
      <c r="W33"/>
    </row>
    <row r="34" spans="1:23" ht="12.75">
      <c r="A34" t="s">
        <v>148</v>
      </c>
      <c r="C34" s="66">
        <v>12</v>
      </c>
      <c r="D34" s="66">
        <v>12</v>
      </c>
      <c r="E34" s="66">
        <v>12</v>
      </c>
      <c r="F34" s="66">
        <v>12</v>
      </c>
      <c r="I34" s="13"/>
      <c r="J34" s="13"/>
      <c r="K34" s="13"/>
      <c r="P34"/>
      <c r="U34" s="13"/>
      <c r="W34"/>
    </row>
    <row r="35" spans="1:23" ht="12.75">
      <c r="A35" t="s">
        <v>149</v>
      </c>
      <c r="C35" s="77">
        <v>1.6</v>
      </c>
      <c r="D35" s="195">
        <v>1.6</v>
      </c>
      <c r="E35" s="195">
        <v>1.6</v>
      </c>
      <c r="F35" s="195">
        <v>1.6</v>
      </c>
      <c r="I35" s="13"/>
      <c r="J35" s="13"/>
      <c r="K35" s="13"/>
      <c r="P35"/>
      <c r="U35" s="13"/>
      <c r="W35"/>
    </row>
    <row r="36" spans="1:23" ht="12.75">
      <c r="A36" t="s">
        <v>150</v>
      </c>
      <c r="C36" s="66">
        <v>425</v>
      </c>
      <c r="D36" s="66">
        <v>425</v>
      </c>
      <c r="E36" s="66">
        <v>425</v>
      </c>
      <c r="F36" s="66">
        <v>425</v>
      </c>
      <c r="I36" s="13"/>
      <c r="J36" s="13"/>
      <c r="K36" s="13"/>
      <c r="P36"/>
      <c r="U36" s="13"/>
      <c r="W36"/>
    </row>
    <row r="37" spans="1:23" ht="12.75">
      <c r="A37" t="s">
        <v>151</v>
      </c>
      <c r="C37" s="82">
        <v>0.32</v>
      </c>
      <c r="D37" s="82">
        <v>0.32</v>
      </c>
      <c r="E37" s="82">
        <v>0.32</v>
      </c>
      <c r="F37" s="82">
        <v>0.32</v>
      </c>
      <c r="I37" s="13"/>
      <c r="J37" s="13"/>
      <c r="K37" s="13"/>
      <c r="P37"/>
      <c r="U37" s="13"/>
      <c r="W37"/>
    </row>
    <row r="38" spans="1:23" ht="12.75">
      <c r="A38" t="s">
        <v>152</v>
      </c>
      <c r="C38" s="83">
        <v>0.055</v>
      </c>
      <c r="D38" s="83">
        <v>0.055</v>
      </c>
      <c r="E38" s="83">
        <v>0.055</v>
      </c>
      <c r="F38" s="83">
        <v>0.055</v>
      </c>
      <c r="I38" s="13"/>
      <c r="J38" s="13"/>
      <c r="K38" s="13"/>
      <c r="P38"/>
      <c r="U38" s="13"/>
      <c r="W38"/>
    </row>
    <row r="39" spans="1:23" ht="12.75">
      <c r="A39" t="s">
        <v>153</v>
      </c>
      <c r="C39" s="83">
        <v>0.056</v>
      </c>
      <c r="D39" s="83">
        <v>0.056</v>
      </c>
      <c r="E39" s="83">
        <v>0.056</v>
      </c>
      <c r="F39" s="83">
        <v>0.056</v>
      </c>
      <c r="I39" s="13"/>
      <c r="J39" s="13"/>
      <c r="K39" s="13"/>
      <c r="P39"/>
      <c r="U39" s="13"/>
      <c r="W39"/>
    </row>
    <row r="40" spans="1:23" ht="12.75">
      <c r="A40" t="s">
        <v>154</v>
      </c>
      <c r="C40" s="83">
        <v>0.055</v>
      </c>
      <c r="D40" s="83">
        <v>0.055</v>
      </c>
      <c r="E40" s="83">
        <v>0.055</v>
      </c>
      <c r="F40" s="83">
        <v>0.055</v>
      </c>
      <c r="I40" s="13"/>
      <c r="J40" s="13"/>
      <c r="K40" s="13"/>
      <c r="P40"/>
      <c r="U40" s="13"/>
      <c r="W40"/>
    </row>
    <row r="41" spans="1:23" ht="12.75">
      <c r="A41" s="4" t="s">
        <v>305</v>
      </c>
      <c r="C41" s="16"/>
      <c r="D41" s="16"/>
      <c r="E41" s="16"/>
      <c r="F41" s="16"/>
      <c r="I41" s="13"/>
      <c r="J41" s="13"/>
      <c r="K41" s="13"/>
      <c r="P41"/>
      <c r="U41" s="13"/>
      <c r="W41"/>
    </row>
    <row r="42" spans="1:23" ht="12.75">
      <c r="A42" t="s">
        <v>155</v>
      </c>
      <c r="C42" s="66">
        <v>5</v>
      </c>
      <c r="D42" s="66">
        <v>5</v>
      </c>
      <c r="E42" s="66">
        <v>5</v>
      </c>
      <c r="F42" s="66">
        <v>5</v>
      </c>
      <c r="I42" s="13"/>
      <c r="J42" s="13"/>
      <c r="K42" s="13"/>
      <c r="P42"/>
      <c r="U42" s="13"/>
      <c r="W42"/>
    </row>
    <row r="43" spans="1:23" ht="12.75">
      <c r="A43" t="s">
        <v>156</v>
      </c>
      <c r="C43" s="66">
        <v>5</v>
      </c>
      <c r="D43" s="66">
        <v>5</v>
      </c>
      <c r="E43" s="66">
        <v>5</v>
      </c>
      <c r="F43" s="66">
        <v>5</v>
      </c>
      <c r="I43" s="13"/>
      <c r="J43" s="13"/>
      <c r="K43" s="13"/>
      <c r="P43"/>
      <c r="U43" s="13"/>
      <c r="W43"/>
    </row>
    <row r="44" spans="1:23" ht="12.75">
      <c r="A44" t="s">
        <v>157</v>
      </c>
      <c r="C44" s="66">
        <v>13</v>
      </c>
      <c r="D44" s="66">
        <v>13</v>
      </c>
      <c r="E44" s="66">
        <v>13</v>
      </c>
      <c r="F44" s="66">
        <v>13</v>
      </c>
      <c r="I44" s="13"/>
      <c r="J44" s="13"/>
      <c r="K44" s="13"/>
      <c r="P44"/>
      <c r="U44" s="13"/>
      <c r="W44"/>
    </row>
    <row r="45" spans="1:23" ht="12.75">
      <c r="A45" t="s">
        <v>158</v>
      </c>
      <c r="C45" s="66">
        <v>5</v>
      </c>
      <c r="D45" s="66">
        <v>5</v>
      </c>
      <c r="E45" s="66">
        <v>5</v>
      </c>
      <c r="F45" s="66">
        <v>5</v>
      </c>
      <c r="I45" s="13"/>
      <c r="J45" s="13"/>
      <c r="K45" s="13"/>
      <c r="P45"/>
      <c r="U45" s="13"/>
      <c r="W45"/>
    </row>
    <row r="46" spans="1:23" ht="12.75">
      <c r="A46" s="115" t="s">
        <v>306</v>
      </c>
      <c r="C46" s="196"/>
      <c r="D46" s="196"/>
      <c r="E46" s="196"/>
      <c r="F46" s="196"/>
      <c r="I46" s="13"/>
      <c r="J46" s="13"/>
      <c r="K46" s="13"/>
      <c r="P46"/>
      <c r="U46" s="13"/>
      <c r="W46"/>
    </row>
    <row r="47" spans="1:23" ht="12.75">
      <c r="A47" t="s">
        <v>307</v>
      </c>
      <c r="C47" s="151">
        <f>PRODUCTION!B68</f>
        <v>1.6808488286584726</v>
      </c>
      <c r="D47" s="151">
        <f>C47</f>
        <v>1.6808488286584726</v>
      </c>
      <c r="E47" s="151">
        <v>0</v>
      </c>
      <c r="F47" s="153">
        <v>0</v>
      </c>
      <c r="I47" s="13"/>
      <c r="J47" s="13"/>
      <c r="K47" s="13"/>
      <c r="P47"/>
      <c r="U47" s="13"/>
      <c r="W47"/>
    </row>
    <row r="48" spans="1:23" ht="12.75">
      <c r="A48" t="s">
        <v>308</v>
      </c>
      <c r="C48" s="151">
        <f>PRODUCTION!B73</f>
        <v>0.8167664670658683</v>
      </c>
      <c r="D48" s="151">
        <f>C48</f>
        <v>0.8167664670658683</v>
      </c>
      <c r="E48" s="151">
        <f>C48</f>
        <v>0.8167664670658683</v>
      </c>
      <c r="F48" s="151">
        <f>C48</f>
        <v>0.8167664670658683</v>
      </c>
      <c r="I48" s="13"/>
      <c r="J48" s="13"/>
      <c r="K48" s="13"/>
      <c r="P48"/>
      <c r="U48" s="13"/>
      <c r="W48"/>
    </row>
    <row r="49" spans="1:23" ht="12.75">
      <c r="A49" s="23"/>
      <c r="B49" s="23"/>
      <c r="C49" s="25"/>
      <c r="D49" s="25"/>
      <c r="E49" s="25"/>
      <c r="F49" s="25"/>
      <c r="I49" s="13"/>
      <c r="J49" s="13"/>
      <c r="K49" s="13"/>
      <c r="P49"/>
      <c r="U49" s="13"/>
      <c r="W49"/>
    </row>
    <row r="50" spans="9:23" ht="12.75">
      <c r="I50" s="13"/>
      <c r="J50" s="13"/>
      <c r="K50" s="13"/>
      <c r="N50"/>
      <c r="O50"/>
      <c r="P50"/>
      <c r="S50" s="13"/>
      <c r="T50" s="13"/>
      <c r="V50"/>
      <c r="W50"/>
    </row>
    <row r="51" spans="1:23" ht="12.75">
      <c r="A51" s="23"/>
      <c r="B51" s="23"/>
      <c r="C51" s="25"/>
      <c r="D51" s="25"/>
      <c r="E51" s="25"/>
      <c r="F51" s="25"/>
      <c r="I51" s="13"/>
      <c r="J51" s="13"/>
      <c r="K51" s="13"/>
      <c r="N51"/>
      <c r="O51"/>
      <c r="P51"/>
      <c r="S51" s="13"/>
      <c r="T51" s="13"/>
      <c r="V51"/>
      <c r="W51"/>
    </row>
    <row r="52" spans="1:23" ht="12.75">
      <c r="A52" s="305" t="str">
        <f>A7</f>
        <v>         Semen was produced from:</v>
      </c>
      <c r="B52" s="305"/>
      <c r="C52" s="21" t="str">
        <f>C7</f>
        <v>On-Farm</v>
      </c>
      <c r="D52" s="21" t="str">
        <f>D7</f>
        <v>Cooperative</v>
      </c>
      <c r="E52" s="21" t="str">
        <f>E7</f>
        <v>Fee-For-Service</v>
      </c>
      <c r="F52" s="21" t="str">
        <f>F7</f>
        <v>Commercial</v>
      </c>
      <c r="I52" s="13"/>
      <c r="J52" s="13"/>
      <c r="K52" s="13"/>
      <c r="N52"/>
      <c r="O52"/>
      <c r="P52"/>
      <c r="S52" s="13"/>
      <c r="T52" s="13"/>
      <c r="V52"/>
      <c r="W52"/>
    </row>
    <row r="53" spans="1:23" ht="12.75">
      <c r="A53" s="4" t="s">
        <v>195</v>
      </c>
      <c r="C53" s="32" t="str">
        <f>C9</f>
        <v>Farm A</v>
      </c>
      <c r="D53" s="32" t="str">
        <f>D9</f>
        <v>Farm A</v>
      </c>
      <c r="E53" s="32" t="str">
        <f>E9</f>
        <v>Farm A</v>
      </c>
      <c r="F53" s="32" t="str">
        <f>F9</f>
        <v>Farm A</v>
      </c>
      <c r="I53" s="13"/>
      <c r="J53" s="13"/>
      <c r="K53" s="13"/>
      <c r="N53"/>
      <c r="O53"/>
      <c r="P53"/>
      <c r="S53" s="13"/>
      <c r="T53" s="13"/>
      <c r="V53"/>
      <c r="W53"/>
    </row>
    <row r="54" spans="1:23" ht="12.75">
      <c r="A54" s="23"/>
      <c r="B54" s="23"/>
      <c r="C54" s="25"/>
      <c r="D54" s="25"/>
      <c r="E54" s="25"/>
      <c r="F54" s="25"/>
      <c r="I54" s="13"/>
      <c r="J54" s="13"/>
      <c r="K54" s="13"/>
      <c r="M54"/>
      <c r="N54"/>
      <c r="O54"/>
      <c r="P54"/>
      <c r="V54"/>
      <c r="W54"/>
    </row>
    <row r="55" spans="1:23" ht="12.75">
      <c r="A55" s="4" t="s">
        <v>159</v>
      </c>
      <c r="C55" s="13"/>
      <c r="D55" s="13"/>
      <c r="E55" s="14"/>
      <c r="F55" s="14"/>
      <c r="I55" s="13"/>
      <c r="J55" s="13"/>
      <c r="K55" s="13"/>
      <c r="N55"/>
      <c r="O55"/>
      <c r="P55"/>
      <c r="S55" s="13"/>
      <c r="T55" s="13"/>
      <c r="V55"/>
      <c r="W55"/>
    </row>
    <row r="56" spans="1:23" ht="12.75">
      <c r="A56" t="s">
        <v>160</v>
      </c>
      <c r="C56" s="81">
        <v>500</v>
      </c>
      <c r="D56" s="81">
        <v>500</v>
      </c>
      <c r="E56" s="81">
        <v>500</v>
      </c>
      <c r="F56" s="81">
        <v>500</v>
      </c>
      <c r="I56" s="13"/>
      <c r="J56" s="13"/>
      <c r="K56" s="13"/>
      <c r="N56"/>
      <c r="O56"/>
      <c r="P56"/>
      <c r="S56" s="13"/>
      <c r="T56" s="13"/>
      <c r="V56"/>
      <c r="W56"/>
    </row>
    <row r="57" spans="1:23" ht="12.75">
      <c r="A57" t="s">
        <v>161</v>
      </c>
      <c r="C57" s="151">
        <f>PRODUCTION!B100</f>
        <v>108.76925600853089</v>
      </c>
      <c r="D57" s="151">
        <f>C57</f>
        <v>108.76925600853089</v>
      </c>
      <c r="E57" s="151">
        <f>C57</f>
        <v>108.76925600853089</v>
      </c>
      <c r="F57" s="151">
        <f>C57</f>
        <v>108.76925600853089</v>
      </c>
      <c r="I57" s="13"/>
      <c r="J57" s="13"/>
      <c r="K57" s="13"/>
      <c r="N57"/>
      <c r="O57"/>
      <c r="P57"/>
      <c r="S57" s="13"/>
      <c r="T57" s="13"/>
      <c r="V57"/>
      <c r="W57"/>
    </row>
    <row r="58" spans="1:23" ht="12.75">
      <c r="A58" t="s">
        <v>162</v>
      </c>
      <c r="C58" s="81">
        <v>1700</v>
      </c>
      <c r="D58" s="81">
        <v>1700</v>
      </c>
      <c r="E58" s="81">
        <v>1700</v>
      </c>
      <c r="F58" s="81">
        <v>1700</v>
      </c>
      <c r="I58" s="13"/>
      <c r="J58" s="13"/>
      <c r="K58" s="13"/>
      <c r="N58"/>
      <c r="O58"/>
      <c r="P58"/>
      <c r="S58" s="13"/>
      <c r="T58" s="13"/>
      <c r="V58"/>
      <c r="W58"/>
    </row>
    <row r="59" spans="1:23" ht="12.75">
      <c r="A59" t="s">
        <v>163</v>
      </c>
      <c r="C59" s="153">
        <f>PRODUCTION!B25</f>
        <v>20</v>
      </c>
      <c r="D59" s="153">
        <f>C59</f>
        <v>20</v>
      </c>
      <c r="E59" s="153">
        <f>C59</f>
        <v>20</v>
      </c>
      <c r="F59" s="153">
        <f>C59</f>
        <v>20</v>
      </c>
      <c r="I59" s="13"/>
      <c r="J59" s="13"/>
      <c r="K59" s="13"/>
      <c r="N59"/>
      <c r="O59"/>
      <c r="P59"/>
      <c r="S59" s="13"/>
      <c r="T59" s="13"/>
      <c r="V59"/>
      <c r="W59"/>
    </row>
    <row r="60" spans="1:23" ht="12.75">
      <c r="A60" t="s">
        <v>164</v>
      </c>
      <c r="C60" s="81">
        <v>250</v>
      </c>
      <c r="D60" s="81">
        <v>250</v>
      </c>
      <c r="E60" s="81">
        <v>250</v>
      </c>
      <c r="F60" s="81">
        <v>250</v>
      </c>
      <c r="I60" s="13"/>
      <c r="J60" s="13"/>
      <c r="K60" s="13"/>
      <c r="N60"/>
      <c r="O60"/>
      <c r="P60"/>
      <c r="S60" s="13"/>
      <c r="T60" s="13"/>
      <c r="V60"/>
      <c r="W60"/>
    </row>
    <row r="61" spans="1:23" ht="12.75">
      <c r="A61" t="s">
        <v>165</v>
      </c>
      <c r="C61" s="151">
        <f>(PRODUCTION!B99)+(PRODUCTION!B103)</f>
        <v>17.638257731113114</v>
      </c>
      <c r="D61" s="151">
        <f>C61</f>
        <v>17.638257731113114</v>
      </c>
      <c r="E61" s="151">
        <f>C61</f>
        <v>17.638257731113114</v>
      </c>
      <c r="F61" s="151">
        <f>C61</f>
        <v>17.638257731113114</v>
      </c>
      <c r="I61" s="13"/>
      <c r="J61" s="13"/>
      <c r="K61" s="13"/>
      <c r="N61"/>
      <c r="O61"/>
      <c r="P61"/>
      <c r="S61" s="13"/>
      <c r="T61" s="13"/>
      <c r="V61"/>
      <c r="W61"/>
    </row>
    <row r="62" spans="1:23" ht="12.75">
      <c r="A62" t="s">
        <v>783</v>
      </c>
      <c r="C62" s="165">
        <v>400</v>
      </c>
      <c r="D62" s="165">
        <v>400</v>
      </c>
      <c r="E62" s="165">
        <v>0</v>
      </c>
      <c r="F62" s="165">
        <v>0</v>
      </c>
      <c r="I62" s="13"/>
      <c r="J62" s="13"/>
      <c r="K62" s="13"/>
      <c r="N62"/>
      <c r="O62"/>
      <c r="P62"/>
      <c r="S62" s="13"/>
      <c r="T62" s="13"/>
      <c r="V62"/>
      <c r="W62"/>
    </row>
    <row r="63" spans="1:23" ht="12.75">
      <c r="A63" t="s">
        <v>784</v>
      </c>
      <c r="C63" s="151">
        <f>C47</f>
        <v>1.6808488286584726</v>
      </c>
      <c r="D63" s="151">
        <f>D47</f>
        <v>1.6808488286584726</v>
      </c>
      <c r="E63" s="151">
        <f>E47</f>
        <v>0</v>
      </c>
      <c r="F63" s="151">
        <f>F47</f>
        <v>0</v>
      </c>
      <c r="I63" s="13"/>
      <c r="J63" s="13"/>
      <c r="K63" s="13"/>
      <c r="N63"/>
      <c r="O63"/>
      <c r="P63"/>
      <c r="S63" s="13"/>
      <c r="T63" s="13"/>
      <c r="V63"/>
      <c r="W63"/>
    </row>
    <row r="64" spans="1:23" ht="12.75">
      <c r="A64" t="s">
        <v>785</v>
      </c>
      <c r="C64" s="165">
        <v>300</v>
      </c>
      <c r="D64" s="165">
        <v>300</v>
      </c>
      <c r="E64" s="165">
        <v>300</v>
      </c>
      <c r="F64" s="165">
        <v>300</v>
      </c>
      <c r="I64" s="13"/>
      <c r="J64" s="13"/>
      <c r="K64" s="13"/>
      <c r="N64"/>
      <c r="O64"/>
      <c r="P64"/>
      <c r="S64" s="13"/>
      <c r="T64" s="13"/>
      <c r="V64"/>
      <c r="W64"/>
    </row>
    <row r="65" spans="1:23" ht="12.75">
      <c r="A65" t="s">
        <v>786</v>
      </c>
      <c r="C65" s="151">
        <f>C48</f>
        <v>0.8167664670658683</v>
      </c>
      <c r="D65" s="151">
        <f>D48</f>
        <v>0.8167664670658683</v>
      </c>
      <c r="E65" s="151">
        <f>E48</f>
        <v>0.8167664670658683</v>
      </c>
      <c r="F65" s="151">
        <f>F48</f>
        <v>0.8167664670658683</v>
      </c>
      <c r="I65" s="13"/>
      <c r="J65" s="13"/>
      <c r="K65" s="13"/>
      <c r="N65"/>
      <c r="O65"/>
      <c r="P65"/>
      <c r="S65" s="13"/>
      <c r="T65" s="13"/>
      <c r="V65"/>
      <c r="W65"/>
    </row>
    <row r="66" spans="1:23" ht="12.75">
      <c r="A66" t="s">
        <v>166</v>
      </c>
      <c r="C66" s="66">
        <v>15</v>
      </c>
      <c r="D66" s="66">
        <v>15</v>
      </c>
      <c r="E66" s="66">
        <v>15</v>
      </c>
      <c r="F66" s="66">
        <v>15</v>
      </c>
      <c r="I66" s="13"/>
      <c r="J66" s="13"/>
      <c r="K66" s="13"/>
      <c r="N66"/>
      <c r="O66"/>
      <c r="P66"/>
      <c r="S66" s="13"/>
      <c r="T66" s="13"/>
      <c r="V66"/>
      <c r="W66"/>
    </row>
    <row r="67" spans="1:23" ht="12.75">
      <c r="A67" t="s">
        <v>167</v>
      </c>
      <c r="C67" s="72">
        <v>0.8</v>
      </c>
      <c r="D67" s="72">
        <v>0.8</v>
      </c>
      <c r="E67" s="72">
        <v>0.8</v>
      </c>
      <c r="F67" s="72">
        <v>0.8</v>
      </c>
      <c r="I67" s="13"/>
      <c r="J67" s="13"/>
      <c r="K67" s="13"/>
      <c r="N67"/>
      <c r="O67"/>
      <c r="P67"/>
      <c r="S67" s="13"/>
      <c r="T67" s="13"/>
      <c r="V67"/>
      <c r="W67"/>
    </row>
    <row r="68" spans="1:23" ht="12.75">
      <c r="A68" t="s">
        <v>168</v>
      </c>
      <c r="C68" s="68">
        <v>0.07</v>
      </c>
      <c r="D68" s="68">
        <v>0.07</v>
      </c>
      <c r="E68" s="68">
        <v>0.07</v>
      </c>
      <c r="F68" s="68">
        <v>0.07</v>
      </c>
      <c r="I68" s="13"/>
      <c r="J68" s="13"/>
      <c r="K68" s="13"/>
      <c r="N68"/>
      <c r="O68"/>
      <c r="P68"/>
      <c r="S68" s="13"/>
      <c r="T68" s="13"/>
      <c r="V68"/>
      <c r="W68"/>
    </row>
    <row r="69" spans="1:23" ht="12.75">
      <c r="A69" t="s">
        <v>169</v>
      </c>
      <c r="C69" s="66">
        <v>15</v>
      </c>
      <c r="D69" s="66">
        <v>15</v>
      </c>
      <c r="E69" s="66">
        <v>15</v>
      </c>
      <c r="F69" s="66">
        <v>15</v>
      </c>
      <c r="I69" s="13"/>
      <c r="J69" s="13"/>
      <c r="K69" s="13"/>
      <c r="N69"/>
      <c r="O69"/>
      <c r="P69"/>
      <c r="S69" s="13"/>
      <c r="T69" s="13"/>
      <c r="V69"/>
      <c r="W69"/>
    </row>
    <row r="70" spans="1:23" ht="12.75">
      <c r="A70" t="s">
        <v>170</v>
      </c>
      <c r="C70" s="68">
        <v>0.005</v>
      </c>
      <c r="D70" s="68">
        <v>0.005</v>
      </c>
      <c r="E70" s="68">
        <v>0.005</v>
      </c>
      <c r="F70" s="68">
        <v>0.005</v>
      </c>
      <c r="I70" s="13"/>
      <c r="J70" s="13"/>
      <c r="K70" s="13"/>
      <c r="N70"/>
      <c r="O70"/>
      <c r="P70"/>
      <c r="S70" s="13"/>
      <c r="T70" s="13"/>
      <c r="V70"/>
      <c r="W70"/>
    </row>
    <row r="71" spans="1:23" ht="12.75">
      <c r="A71" t="s">
        <v>171</v>
      </c>
      <c r="C71" s="68">
        <v>0.01</v>
      </c>
      <c r="D71" s="68">
        <v>0.01</v>
      </c>
      <c r="E71" s="68">
        <v>0.01</v>
      </c>
      <c r="F71" s="68">
        <v>0.01</v>
      </c>
      <c r="I71" s="13"/>
      <c r="J71" s="13"/>
      <c r="K71" s="13"/>
      <c r="N71"/>
      <c r="O71"/>
      <c r="P71"/>
      <c r="S71" s="13"/>
      <c r="T71" s="13"/>
      <c r="V71"/>
      <c r="W71"/>
    </row>
    <row r="72" spans="1:23" ht="12.75">
      <c r="A72" s="4" t="s">
        <v>172</v>
      </c>
      <c r="C72" s="13"/>
      <c r="D72" s="13"/>
      <c r="E72" s="13"/>
      <c r="F72" s="13"/>
      <c r="I72" s="13"/>
      <c r="J72" s="13"/>
      <c r="K72" s="13"/>
      <c r="N72"/>
      <c r="O72"/>
      <c r="P72"/>
      <c r="S72" s="13"/>
      <c r="T72" s="13"/>
      <c r="V72"/>
      <c r="W72"/>
    </row>
    <row r="73" spans="1:23" ht="12.75">
      <c r="A73" s="63" t="s">
        <v>173</v>
      </c>
      <c r="C73" s="66">
        <v>1</v>
      </c>
      <c r="D73" s="66">
        <v>1</v>
      </c>
      <c r="E73" s="66">
        <v>1</v>
      </c>
      <c r="F73" s="66">
        <v>1</v>
      </c>
      <c r="I73" s="13"/>
      <c r="J73" s="13"/>
      <c r="K73" s="13"/>
      <c r="Q73" s="2"/>
      <c r="S73" s="13"/>
      <c r="T73" s="13"/>
      <c r="V73"/>
      <c r="W73"/>
    </row>
    <row r="74" spans="1:23" ht="12.75">
      <c r="A74" t="s">
        <v>174</v>
      </c>
      <c r="C74" s="77">
        <v>10</v>
      </c>
      <c r="D74" s="77">
        <v>10</v>
      </c>
      <c r="E74" s="77">
        <v>10</v>
      </c>
      <c r="F74" s="77">
        <v>10</v>
      </c>
      <c r="I74" s="13"/>
      <c r="J74" s="13"/>
      <c r="K74" s="13"/>
      <c r="Q74" s="13"/>
      <c r="S74" s="13"/>
      <c r="T74" s="13"/>
      <c r="V74"/>
      <c r="W74"/>
    </row>
    <row r="75" spans="1:23" ht="12.75">
      <c r="A75" t="s">
        <v>175</v>
      </c>
      <c r="C75" s="66">
        <v>50</v>
      </c>
      <c r="D75" s="66">
        <v>50</v>
      </c>
      <c r="E75" s="66">
        <v>50</v>
      </c>
      <c r="F75" s="66">
        <v>50</v>
      </c>
      <c r="I75" s="13"/>
      <c r="J75" s="13"/>
      <c r="K75" s="13"/>
      <c r="M75"/>
      <c r="N75"/>
      <c r="O75"/>
      <c r="P75"/>
      <c r="V75"/>
      <c r="W75"/>
    </row>
    <row r="76" spans="1:23" ht="12.75">
      <c r="A76" t="s">
        <v>176</v>
      </c>
      <c r="C76" s="66">
        <v>51</v>
      </c>
      <c r="D76" s="66">
        <v>51</v>
      </c>
      <c r="E76" s="66">
        <v>51</v>
      </c>
      <c r="F76" s="66">
        <v>51</v>
      </c>
      <c r="I76" s="13"/>
      <c r="J76" s="13"/>
      <c r="K76" s="13"/>
      <c r="N76"/>
      <c r="O76"/>
      <c r="P76"/>
      <c r="S76" s="13"/>
      <c r="T76" s="13"/>
      <c r="V76"/>
      <c r="W76"/>
    </row>
    <row r="77" spans="1:23" ht="12.75">
      <c r="A77" s="63" t="s">
        <v>187</v>
      </c>
      <c r="C77" s="66">
        <v>0.5</v>
      </c>
      <c r="D77" s="66">
        <v>0.5</v>
      </c>
      <c r="E77" s="66">
        <v>0.5</v>
      </c>
      <c r="F77" s="66">
        <v>0.5</v>
      </c>
      <c r="I77" s="13"/>
      <c r="J77" s="13"/>
      <c r="K77" s="13"/>
      <c r="N77"/>
      <c r="O77"/>
      <c r="P77"/>
      <c r="S77" s="13"/>
      <c r="T77" s="13"/>
      <c r="V77"/>
      <c r="W77"/>
    </row>
    <row r="78" spans="1:23" ht="12.75">
      <c r="A78" t="s">
        <v>174</v>
      </c>
      <c r="C78" s="77">
        <v>6</v>
      </c>
      <c r="D78" s="77">
        <v>6</v>
      </c>
      <c r="E78" s="77">
        <v>6</v>
      </c>
      <c r="F78" s="77">
        <v>6</v>
      </c>
      <c r="I78" s="13"/>
      <c r="J78" s="13"/>
      <c r="K78" s="13"/>
      <c r="N78"/>
      <c r="O78"/>
      <c r="P78"/>
      <c r="S78" s="13"/>
      <c r="T78" s="13"/>
      <c r="V78"/>
      <c r="W78"/>
    </row>
    <row r="79" spans="1:23" ht="12.75">
      <c r="A79" t="s">
        <v>175</v>
      </c>
      <c r="C79" s="66">
        <v>50</v>
      </c>
      <c r="D79" s="66">
        <v>50</v>
      </c>
      <c r="E79" s="66">
        <v>50</v>
      </c>
      <c r="F79" s="66">
        <v>50</v>
      </c>
      <c r="I79" s="13"/>
      <c r="J79" s="13"/>
      <c r="K79" s="13"/>
      <c r="N79"/>
      <c r="O79"/>
      <c r="P79"/>
      <c r="S79" s="13"/>
      <c r="T79" s="13"/>
      <c r="V79"/>
      <c r="W79"/>
    </row>
    <row r="80" spans="1:23" ht="12.75">
      <c r="A80" t="s">
        <v>176</v>
      </c>
      <c r="C80" s="66">
        <v>51</v>
      </c>
      <c r="D80" s="66">
        <v>51</v>
      </c>
      <c r="E80" s="66">
        <v>51</v>
      </c>
      <c r="F80" s="66">
        <v>51</v>
      </c>
      <c r="I80" s="13"/>
      <c r="J80" s="13"/>
      <c r="K80" s="13"/>
      <c r="N80"/>
      <c r="O80"/>
      <c r="P80"/>
      <c r="S80" s="13"/>
      <c r="T80" s="13"/>
      <c r="V80"/>
      <c r="W80"/>
    </row>
    <row r="81" spans="1:23" ht="12.75">
      <c r="A81" s="63" t="s">
        <v>188</v>
      </c>
      <c r="C81" s="66">
        <v>0</v>
      </c>
      <c r="D81" s="66">
        <v>0</v>
      </c>
      <c r="E81" s="66">
        <v>0</v>
      </c>
      <c r="F81" s="66">
        <v>0</v>
      </c>
      <c r="I81" s="13"/>
      <c r="J81" s="13"/>
      <c r="K81" s="13"/>
      <c r="N81"/>
      <c r="O81"/>
      <c r="P81"/>
      <c r="S81" s="13"/>
      <c r="T81" s="13"/>
      <c r="V81"/>
      <c r="W81"/>
    </row>
    <row r="82" spans="1:23" ht="12.75">
      <c r="A82" t="s">
        <v>174</v>
      </c>
      <c r="C82" s="77">
        <v>7</v>
      </c>
      <c r="D82" s="77">
        <v>7</v>
      </c>
      <c r="E82" s="77">
        <v>7</v>
      </c>
      <c r="F82" s="77">
        <v>7</v>
      </c>
      <c r="I82" s="13"/>
      <c r="J82" s="13"/>
      <c r="K82" s="13"/>
      <c r="N82"/>
      <c r="O82"/>
      <c r="P82"/>
      <c r="S82" s="13"/>
      <c r="T82" s="13"/>
      <c r="V82"/>
      <c r="W82"/>
    </row>
    <row r="83" spans="1:23" ht="12.75">
      <c r="A83" t="s">
        <v>175</v>
      </c>
      <c r="C83" s="66">
        <v>50</v>
      </c>
      <c r="D83" s="66">
        <v>50</v>
      </c>
      <c r="E83" s="66">
        <v>50</v>
      </c>
      <c r="F83" s="66">
        <v>50</v>
      </c>
      <c r="I83" s="13"/>
      <c r="J83" s="13"/>
      <c r="K83" s="13"/>
      <c r="N83"/>
      <c r="O83"/>
      <c r="P83"/>
      <c r="S83" s="13"/>
      <c r="T83" s="13"/>
      <c r="V83"/>
      <c r="W83"/>
    </row>
    <row r="84" spans="1:23" ht="12.75">
      <c r="A84" t="s">
        <v>176</v>
      </c>
      <c r="C84" s="66">
        <v>51</v>
      </c>
      <c r="D84" s="66">
        <v>51</v>
      </c>
      <c r="E84" s="66">
        <v>51</v>
      </c>
      <c r="F84" s="66">
        <v>51</v>
      </c>
      <c r="I84" s="13"/>
      <c r="J84" s="13"/>
      <c r="K84" s="13"/>
      <c r="N84"/>
      <c r="O84"/>
      <c r="P84"/>
      <c r="S84" s="13"/>
      <c r="T84" s="13"/>
      <c r="V84"/>
      <c r="W84"/>
    </row>
    <row r="85" spans="1:23" ht="12.75">
      <c r="A85" s="4" t="s">
        <v>189</v>
      </c>
      <c r="C85" s="14"/>
      <c r="D85" s="14"/>
      <c r="E85" s="14"/>
      <c r="F85" s="14"/>
      <c r="I85" s="13"/>
      <c r="J85" s="13"/>
      <c r="K85" s="13"/>
      <c r="N85"/>
      <c r="O85"/>
      <c r="P85"/>
      <c r="S85" s="13"/>
      <c r="T85" s="13"/>
      <c r="V85"/>
      <c r="W85"/>
    </row>
    <row r="86" spans="1:23" ht="12.75">
      <c r="A86" t="s">
        <v>190</v>
      </c>
      <c r="C86" s="98">
        <v>10000</v>
      </c>
      <c r="D86" s="98">
        <v>10000</v>
      </c>
      <c r="E86" s="98">
        <v>10000</v>
      </c>
      <c r="F86" s="98">
        <v>10000</v>
      </c>
      <c r="I86" s="13"/>
      <c r="J86" s="13"/>
      <c r="K86" s="13"/>
      <c r="N86"/>
      <c r="O86"/>
      <c r="P86"/>
      <c r="S86" s="13"/>
      <c r="T86" s="13"/>
      <c r="V86"/>
      <c r="W86"/>
    </row>
    <row r="87" spans="1:23" ht="12.75">
      <c r="A87" t="s">
        <v>191</v>
      </c>
      <c r="C87" s="69">
        <v>0.07</v>
      </c>
      <c r="D87" s="69">
        <v>0.07</v>
      </c>
      <c r="E87" s="69">
        <v>0.07</v>
      </c>
      <c r="F87" s="69">
        <v>0.07</v>
      </c>
      <c r="I87" s="13"/>
      <c r="J87" s="13"/>
      <c r="K87" s="13"/>
      <c r="N87"/>
      <c r="O87"/>
      <c r="P87"/>
      <c r="S87" s="13"/>
      <c r="T87" s="13"/>
      <c r="V87"/>
      <c r="W87"/>
    </row>
    <row r="88" spans="1:23" ht="12.75">
      <c r="A88" t="s">
        <v>192</v>
      </c>
      <c r="C88" s="74">
        <v>12</v>
      </c>
      <c r="D88" s="74">
        <v>12</v>
      </c>
      <c r="E88" s="74">
        <v>12</v>
      </c>
      <c r="F88" s="74">
        <v>12</v>
      </c>
      <c r="I88" s="13"/>
      <c r="J88" s="13"/>
      <c r="K88" s="13"/>
      <c r="N88"/>
      <c r="O88"/>
      <c r="P88"/>
      <c r="S88" s="13"/>
      <c r="T88" s="13"/>
      <c r="V88"/>
      <c r="W88"/>
    </row>
    <row r="89" spans="1:23" ht="12.75">
      <c r="A89" t="s">
        <v>193</v>
      </c>
      <c r="C89" s="97">
        <v>1.15</v>
      </c>
      <c r="D89" s="97">
        <v>1.15</v>
      </c>
      <c r="E89" s="97">
        <v>1.15</v>
      </c>
      <c r="F89" s="97">
        <v>1.15</v>
      </c>
      <c r="I89" s="13"/>
      <c r="J89" s="13"/>
      <c r="K89" s="13"/>
      <c r="N89"/>
      <c r="O89"/>
      <c r="P89"/>
      <c r="S89" s="13"/>
      <c r="T89" s="13"/>
      <c r="V89"/>
      <c r="W89"/>
    </row>
    <row r="90" spans="1:23" ht="12.75">
      <c r="A90" t="s">
        <v>194</v>
      </c>
      <c r="C90" s="97">
        <v>1</v>
      </c>
      <c r="D90" s="97">
        <v>1</v>
      </c>
      <c r="E90" s="97">
        <v>1</v>
      </c>
      <c r="F90" s="97">
        <v>1</v>
      </c>
      <c r="I90" s="13"/>
      <c r="J90" s="13"/>
      <c r="K90" s="13"/>
      <c r="N90"/>
      <c r="O90"/>
      <c r="P90"/>
      <c r="S90" s="13"/>
      <c r="T90" s="13"/>
      <c r="V90"/>
      <c r="W90"/>
    </row>
    <row r="91" spans="1:23" ht="12.75">
      <c r="A91" s="23"/>
      <c r="B91" s="23"/>
      <c r="C91" s="23"/>
      <c r="D91" s="23"/>
      <c r="E91" s="25"/>
      <c r="F91" s="25"/>
      <c r="I91" s="13"/>
      <c r="J91" s="13"/>
      <c r="K91" s="13"/>
      <c r="N91"/>
      <c r="O91"/>
      <c r="P91"/>
      <c r="S91" s="13"/>
      <c r="T91" s="13"/>
      <c r="V91"/>
      <c r="W91"/>
    </row>
    <row r="92" spans="1:23" ht="15.75">
      <c r="A92" s="62"/>
      <c r="D92" s="21"/>
      <c r="E92" s="126"/>
      <c r="G92" s="85"/>
      <c r="H92" s="85"/>
      <c r="I92" s="13"/>
      <c r="J92" s="13"/>
      <c r="K92" s="13"/>
      <c r="N92"/>
      <c r="O92"/>
      <c r="P92"/>
      <c r="S92" s="13"/>
      <c r="T92" s="13"/>
      <c r="V92"/>
      <c r="W92"/>
    </row>
    <row r="93" spans="1:23" ht="12.75">
      <c r="A93" s="56"/>
      <c r="B93" s="25"/>
      <c r="C93" s="60"/>
      <c r="D93" s="23"/>
      <c r="E93" s="23"/>
      <c r="F93" s="141"/>
      <c r="J93" s="13"/>
      <c r="K93" s="13"/>
      <c r="O93"/>
      <c r="P93"/>
      <c r="T93" s="13"/>
      <c r="U93" s="13"/>
      <c r="V93"/>
      <c r="W93"/>
    </row>
    <row r="94" spans="1:6" ht="12.75">
      <c r="A94" s="307" t="str">
        <f>A7</f>
        <v>         Semen was produced from:</v>
      </c>
      <c r="B94" s="305"/>
      <c r="C94" s="21" t="str">
        <f>C7</f>
        <v>On-Farm</v>
      </c>
      <c r="D94" s="21" t="str">
        <f>D7</f>
        <v>Cooperative</v>
      </c>
      <c r="E94" s="21" t="str">
        <f>E7</f>
        <v>Fee-For-Service</v>
      </c>
      <c r="F94" s="21" t="str">
        <f>F7</f>
        <v>Commercial</v>
      </c>
    </row>
    <row r="95" spans="1:6" ht="12.75">
      <c r="A95" s="21" t="s">
        <v>200</v>
      </c>
      <c r="C95" s="21" t="str">
        <f>C9</f>
        <v>Farm A</v>
      </c>
      <c r="D95" s="21" t="str">
        <f>D9</f>
        <v>Farm A</v>
      </c>
      <c r="E95" s="21" t="str">
        <f>E9</f>
        <v>Farm A</v>
      </c>
      <c r="F95" s="21" t="str">
        <f>F9</f>
        <v>Farm A</v>
      </c>
    </row>
    <row r="96" spans="1:6" ht="12.75">
      <c r="A96" s="56"/>
      <c r="B96" s="141"/>
      <c r="C96" s="25"/>
      <c r="D96" s="25"/>
      <c r="E96" s="25"/>
      <c r="F96" s="25"/>
    </row>
    <row r="97" spans="1:6" ht="12.75">
      <c r="A97" s="84" t="s">
        <v>201</v>
      </c>
      <c r="C97" s="39">
        <f>((C24*C12)-(C24*C12*C20))/C24</f>
        <v>0.38000000000000006</v>
      </c>
      <c r="D97" s="39">
        <f>((D24*D12)-(D24*D12*D20))/D24</f>
        <v>0.38000000000000006</v>
      </c>
      <c r="E97" s="39">
        <f>((E24*E12)-(E24*E12*E20))/E24</f>
        <v>0.38000000000000006</v>
      </c>
      <c r="F97" s="39">
        <f>((F24*F12)-(F24*F12*F20))/F24</f>
        <v>0.38000000000000006</v>
      </c>
    </row>
    <row r="98" spans="1:6" ht="12.75">
      <c r="A98" s="54" t="s">
        <v>202</v>
      </c>
      <c r="C98" s="53">
        <f>C28/C27</f>
        <v>0.9099999999999999</v>
      </c>
      <c r="D98" s="53">
        <f>D28/D27</f>
        <v>0.9099999999999998</v>
      </c>
      <c r="E98" s="53">
        <f>E28/E27</f>
        <v>0.91</v>
      </c>
      <c r="F98" s="53">
        <f>F28/F27</f>
        <v>0.91</v>
      </c>
    </row>
    <row r="99" spans="1:6" ht="12.75">
      <c r="A99" s="54" t="s">
        <v>203</v>
      </c>
      <c r="C99" s="40">
        <f>C25/C24</f>
        <v>1.9175586578901496</v>
      </c>
      <c r="D99" s="40">
        <f>D25/D24</f>
        <v>1.9175586578901496</v>
      </c>
      <c r="E99" s="40">
        <f>E25/E24</f>
        <v>1.997935368101114</v>
      </c>
      <c r="F99" s="40">
        <f>F25/F24</f>
        <v>1.997935368101114</v>
      </c>
    </row>
    <row r="100" spans="1:16" ht="12.75">
      <c r="A100" s="54" t="s">
        <v>204</v>
      </c>
      <c r="C100" s="15">
        <f>C24</f>
        <v>108.76925600853089</v>
      </c>
      <c r="D100" s="15">
        <f>D24</f>
        <v>108.76925600853089</v>
      </c>
      <c r="E100" s="15">
        <f>E24</f>
        <v>108.76925600853089</v>
      </c>
      <c r="F100" s="15">
        <f>F24</f>
        <v>108.76925600853089</v>
      </c>
      <c r="P100" s="14"/>
    </row>
    <row r="101" spans="1:6" ht="12.75">
      <c r="A101" s="54" t="s">
        <v>205</v>
      </c>
      <c r="C101" s="15">
        <f>INT(C28*C99*C100)</f>
        <v>1981</v>
      </c>
      <c r="D101" s="15">
        <f>INT(D28*D99*D100)</f>
        <v>1981</v>
      </c>
      <c r="E101" s="15">
        <f>INT(E28*E99*E100)</f>
        <v>2155</v>
      </c>
      <c r="F101" s="15">
        <f>INT(F28*F99*F100)</f>
        <v>2165</v>
      </c>
    </row>
    <row r="102" spans="1:6" ht="12.75">
      <c r="A102" s="54" t="s">
        <v>206</v>
      </c>
      <c r="C102" s="13">
        <f>INT(C101*C34)</f>
        <v>23772</v>
      </c>
      <c r="D102" s="13">
        <f>INT(D101*D34)</f>
        <v>23772</v>
      </c>
      <c r="E102" s="13">
        <f>INT(E101*E34)</f>
        <v>25860</v>
      </c>
      <c r="F102" s="13">
        <f>INT(F101*F34)</f>
        <v>25980</v>
      </c>
    </row>
    <row r="103" spans="1:6" ht="12.75">
      <c r="A103" s="54" t="s">
        <v>207</v>
      </c>
      <c r="C103" s="19">
        <f>C35</f>
        <v>1.6</v>
      </c>
      <c r="D103" s="19">
        <f>D35</f>
        <v>1.6</v>
      </c>
      <c r="E103" s="19">
        <f>E35</f>
        <v>1.6</v>
      </c>
      <c r="F103" s="19">
        <f>F35</f>
        <v>1.6</v>
      </c>
    </row>
    <row r="104" spans="1:6" ht="12.75">
      <c r="A104" s="55" t="s">
        <v>208</v>
      </c>
      <c r="C104" s="28">
        <f>C102*C103</f>
        <v>38035.200000000004</v>
      </c>
      <c r="D104" s="28">
        <f>D102*D103</f>
        <v>38035.200000000004</v>
      </c>
      <c r="E104" s="28">
        <f>E102*E103</f>
        <v>41376</v>
      </c>
      <c r="F104" s="28">
        <f>F102*F103</f>
        <v>41568</v>
      </c>
    </row>
    <row r="105" spans="1:6" ht="12.75">
      <c r="A105" s="56"/>
      <c r="B105" s="141"/>
      <c r="C105" s="25"/>
      <c r="D105" s="25"/>
      <c r="E105" s="25"/>
      <c r="F105" s="25"/>
    </row>
    <row r="106" spans="1:6" ht="12.75">
      <c r="A106" s="54" t="s">
        <v>209</v>
      </c>
      <c r="C106" s="15">
        <f>((+C203-C16)*C97*C100)+((C24*C12)*C20)*C21-((C24*C31)*C32)</f>
        <v>7015.617012550244</v>
      </c>
      <c r="D106" s="15">
        <f>((+D203-D16)*D97*D100)+((D24*D12)*D20)*D21-((D24*D31)*D32)</f>
        <v>7015.617012550244</v>
      </c>
      <c r="E106" s="15">
        <f>((+E203-E16)*E97*E100)+((E24*E12)*E20)*E21-((E24*E31)*E32)</f>
        <v>7015.617012550244</v>
      </c>
      <c r="F106" s="15">
        <f>((+F203-F16)*F97*F100)+((F24*F12)*F20)*F21-((F24*F31)*F32)</f>
        <v>7015.617012550244</v>
      </c>
    </row>
    <row r="107" spans="1:6" ht="12.75">
      <c r="A107" s="54" t="s">
        <v>210</v>
      </c>
      <c r="C107" s="52">
        <f>C37</f>
        <v>0.32</v>
      </c>
      <c r="D107" s="52">
        <f>D37</f>
        <v>0.32</v>
      </c>
      <c r="E107" s="52">
        <f>E37</f>
        <v>0.32</v>
      </c>
      <c r="F107" s="52">
        <f>F37</f>
        <v>0.32</v>
      </c>
    </row>
    <row r="108" spans="1:6" ht="12.75">
      <c r="A108" s="55" t="s">
        <v>211</v>
      </c>
      <c r="C108" s="28">
        <f>C106*C107</f>
        <v>2244.997444016078</v>
      </c>
      <c r="D108" s="28">
        <f>D106*D107</f>
        <v>2244.997444016078</v>
      </c>
      <c r="E108" s="28">
        <f>E106*E107</f>
        <v>2244.997444016078</v>
      </c>
      <c r="F108" s="28">
        <f>F106*F107</f>
        <v>2244.997444016078</v>
      </c>
    </row>
    <row r="109" spans="1:20" ht="12.75">
      <c r="A109" s="56"/>
      <c r="B109" s="141"/>
      <c r="C109" s="25"/>
      <c r="D109" s="25"/>
      <c r="E109" s="25"/>
      <c r="F109" s="25"/>
      <c r="Q109" s="13"/>
      <c r="R109" s="13"/>
      <c r="S109" s="13"/>
      <c r="T109" s="13"/>
    </row>
    <row r="110" spans="1:20" ht="12.75">
      <c r="A110" s="54" t="s">
        <v>212</v>
      </c>
      <c r="C110" s="15">
        <f>(365-((C99*114)+(C99*C29)))*C42*C100</f>
        <v>62932.46364414031</v>
      </c>
      <c r="D110" s="15">
        <f>(365-((D99*114)+(D99*D29)))*D42*D100</f>
        <v>62932.46364414031</v>
      </c>
      <c r="E110" s="15">
        <f>(365-((E99*114)+(E99*E29)))*E42*E100</f>
        <v>57249.82891360136</v>
      </c>
      <c r="F110" s="15">
        <f>(365-((F99*114)+(F99*F29)))*F42*F100</f>
        <v>57249.82891360136</v>
      </c>
      <c r="Q110" s="13"/>
      <c r="R110" s="13"/>
      <c r="S110" s="13"/>
      <c r="T110" s="13"/>
    </row>
    <row r="111" spans="1:6" ht="12.75">
      <c r="A111" s="55" t="s">
        <v>213</v>
      </c>
      <c r="C111" s="28">
        <f>(C110*C38)</f>
        <v>3461.285500427717</v>
      </c>
      <c r="D111" s="28">
        <f>(D110*D38)</f>
        <v>3461.285500427717</v>
      </c>
      <c r="E111" s="28">
        <f>(E110*E38)</f>
        <v>3148.740590248075</v>
      </c>
      <c r="F111" s="28">
        <f>(F110*F38)</f>
        <v>3148.740590248075</v>
      </c>
    </row>
    <row r="112" spans="1:6" ht="12.75">
      <c r="A112" s="54" t="s">
        <v>214</v>
      </c>
      <c r="C112" s="15">
        <f>C99*114*C43*C100</f>
        <v>118885.71428571428</v>
      </c>
      <c r="D112" s="15">
        <f>D99*114*D43*D100</f>
        <v>118885.71428571428</v>
      </c>
      <c r="E112" s="15">
        <f>E99*114*E43*E100</f>
        <v>123868.94781864842</v>
      </c>
      <c r="F112" s="15">
        <f>F99*114*F43*F100</f>
        <v>123868.94781864842</v>
      </c>
    </row>
    <row r="113" spans="1:6" ht="12.75">
      <c r="A113" s="55" t="s">
        <v>215</v>
      </c>
      <c r="C113" s="28">
        <f>C112*C38</f>
        <v>6538.714285714285</v>
      </c>
      <c r="D113" s="28">
        <f>D112*D38</f>
        <v>6538.714285714285</v>
      </c>
      <c r="E113" s="28">
        <f>E112*E38</f>
        <v>6812.792130025663</v>
      </c>
      <c r="F113" s="28">
        <f>F112*F38</f>
        <v>6812.792130025663</v>
      </c>
    </row>
    <row r="114" spans="1:6" ht="12.75">
      <c r="A114" s="54" t="s">
        <v>216</v>
      </c>
      <c r="C114" s="15">
        <f>C99*C29*C44*C100</f>
        <v>43382.857142857145</v>
      </c>
      <c r="D114" s="15">
        <f>D99*D29*D44*D100</f>
        <v>43382.857142857145</v>
      </c>
      <c r="E114" s="15">
        <f>E99*E29*E44*E100</f>
        <v>45201.300256629605</v>
      </c>
      <c r="F114" s="15">
        <f>F99*F29*F44*F100</f>
        <v>45201.300256629605</v>
      </c>
    </row>
    <row r="115" spans="1:6" ht="12.75">
      <c r="A115" s="55" t="s">
        <v>217</v>
      </c>
      <c r="C115" s="28">
        <f>(C114*C39)</f>
        <v>2429.44</v>
      </c>
      <c r="D115" s="28">
        <f>(D114*D39)</f>
        <v>2429.44</v>
      </c>
      <c r="E115" s="28">
        <f>(E114*E39)</f>
        <v>2531.272814371258</v>
      </c>
      <c r="F115" s="28">
        <f>(F114*F39)</f>
        <v>2531.272814371258</v>
      </c>
    </row>
    <row r="116" spans="1:6" ht="12.75">
      <c r="A116" s="54" t="s">
        <v>218</v>
      </c>
      <c r="C116" s="15">
        <f>(C45*C48*365)</f>
        <v>1490.5988023952095</v>
      </c>
      <c r="D116" s="15">
        <f>(D45*D48*365)</f>
        <v>1490.5988023952095</v>
      </c>
      <c r="E116" s="15">
        <f>(E45*E48*365)</f>
        <v>1490.5988023952095</v>
      </c>
      <c r="F116" s="15">
        <f>(F45*F48*365)</f>
        <v>1490.5988023952095</v>
      </c>
    </row>
    <row r="117" spans="1:6" ht="12.75">
      <c r="A117" s="54" t="s">
        <v>219</v>
      </c>
      <c r="C117" s="27">
        <f>(C116*C40)</f>
        <v>81.98293413173653</v>
      </c>
      <c r="D117" s="27">
        <f>(D116*D40)</f>
        <v>81.98293413173653</v>
      </c>
      <c r="E117" s="27">
        <f>(E116*E40)</f>
        <v>81.98293413173653</v>
      </c>
      <c r="F117" s="27">
        <f>(F116*F40)</f>
        <v>81.98293413173653</v>
      </c>
    </row>
    <row r="118" spans="1:6" ht="12.75">
      <c r="A118" s="127" t="s">
        <v>220</v>
      </c>
      <c r="C118" s="120">
        <f>C45*C47*365</f>
        <v>3067.5491123017127</v>
      </c>
      <c r="D118" s="120">
        <f>D45*D47*365</f>
        <v>3067.5491123017127</v>
      </c>
      <c r="E118" s="120">
        <f>E45*E47*365</f>
        <v>0</v>
      </c>
      <c r="F118" s="120">
        <f>F45*F47*365</f>
        <v>0</v>
      </c>
    </row>
    <row r="119" spans="1:6" ht="12.75">
      <c r="A119" s="127" t="s">
        <v>221</v>
      </c>
      <c r="C119" s="121">
        <f>C40*C118</f>
        <v>168.7152011765942</v>
      </c>
      <c r="D119" s="121">
        <f>D40*D118</f>
        <v>168.7152011765942</v>
      </c>
      <c r="E119" s="121">
        <f>E40*E118</f>
        <v>0</v>
      </c>
      <c r="F119" s="121">
        <f>F40*F118</f>
        <v>0</v>
      </c>
    </row>
    <row r="120" spans="1:6" ht="12.75">
      <c r="A120" s="194" t="s">
        <v>782</v>
      </c>
      <c r="C120" s="178">
        <f>C117+C119</f>
        <v>250.69813530833073</v>
      </c>
      <c r="D120" s="178">
        <f>D117+D119</f>
        <v>250.69813530833073</v>
      </c>
      <c r="E120" s="178">
        <f>E117+E119</f>
        <v>81.98293413173653</v>
      </c>
      <c r="F120" s="178">
        <f>F117+F119</f>
        <v>81.98293413173653</v>
      </c>
    </row>
    <row r="121" spans="1:6" ht="12.75">
      <c r="A121" s="127" t="s">
        <v>222</v>
      </c>
      <c r="C121" s="15">
        <f>C110+C112+C114+C116</f>
        <v>226691.63387510699</v>
      </c>
      <c r="D121" s="15">
        <f>D110+D112+D114+D116</f>
        <v>226691.63387510699</v>
      </c>
      <c r="E121" s="15">
        <f>E110+E112+E114+E116</f>
        <v>227810.67579127458</v>
      </c>
      <c r="F121" s="15">
        <f>F110+F112+F114+F116</f>
        <v>227810.67579127458</v>
      </c>
    </row>
    <row r="122" spans="1:6" ht="12.75">
      <c r="A122" s="54" t="s">
        <v>223</v>
      </c>
      <c r="C122" s="27">
        <f>(C111+C113+C115+C117+C119)</f>
        <v>12680.137921450332</v>
      </c>
      <c r="D122" s="27">
        <f>(D111+D113+D115+D117+D119)</f>
        <v>12680.137921450332</v>
      </c>
      <c r="E122" s="27">
        <f>(E111+E113+E115+E117+E119)</f>
        <v>12574.788468776733</v>
      </c>
      <c r="F122" s="27">
        <f>(F111+F113+F115+F117+F119)</f>
        <v>12574.788468776733</v>
      </c>
    </row>
    <row r="123" spans="1:6" ht="12.75">
      <c r="A123" s="54" t="s">
        <v>224</v>
      </c>
      <c r="C123" s="27">
        <f>(C122/(C121/2000))</f>
        <v>111.87124733889651</v>
      </c>
      <c r="D123" s="27">
        <f>(D122/(D121/2000))</f>
        <v>111.87124733889651</v>
      </c>
      <c r="E123" s="27">
        <f>(E122/(E121/2000))</f>
        <v>110.39683215108009</v>
      </c>
      <c r="F123" s="27">
        <f>(F122/(F121/2000))</f>
        <v>110.39683215108009</v>
      </c>
    </row>
    <row r="124" spans="1:6" ht="12.75">
      <c r="A124" s="54" t="s">
        <v>225</v>
      </c>
      <c r="C124" s="40">
        <f>C121/(C102+C106)</f>
        <v>7.363078272108509</v>
      </c>
      <c r="D124" s="40">
        <f>D121/(D102+D106)</f>
        <v>7.363078272108509</v>
      </c>
      <c r="E124" s="40">
        <f>E121/(E102+E106)</f>
        <v>6.929472250035885</v>
      </c>
      <c r="F124" s="40">
        <f>F121/(F102+F106)</f>
        <v>6.904270821928388</v>
      </c>
    </row>
    <row r="125" spans="1:6" ht="12.75">
      <c r="A125" s="54" t="s">
        <v>226</v>
      </c>
      <c r="C125" s="41">
        <f>C121/C101</f>
        <v>114.43292977037203</v>
      </c>
      <c r="D125" s="41">
        <f>D121/D101</f>
        <v>114.43292977037203</v>
      </c>
      <c r="E125" s="41">
        <f>E121/E101</f>
        <v>105.71261057599749</v>
      </c>
      <c r="F125" s="41">
        <f>F121/F101</f>
        <v>105.22433061952637</v>
      </c>
    </row>
    <row r="126" spans="1:6" ht="12.75">
      <c r="A126" s="56"/>
      <c r="B126" s="141"/>
      <c r="C126" s="25"/>
      <c r="D126" s="25"/>
      <c r="E126" s="25"/>
      <c r="F126" s="25"/>
    </row>
    <row r="127" spans="1:6" ht="12.75">
      <c r="A127" s="54" t="s">
        <v>227</v>
      </c>
      <c r="C127" s="27">
        <f>C104</f>
        <v>38035.200000000004</v>
      </c>
      <c r="D127" s="27">
        <f>D104</f>
        <v>38035.200000000004</v>
      </c>
      <c r="E127" s="27">
        <f>E104</f>
        <v>41376</v>
      </c>
      <c r="F127" s="27">
        <f>F104</f>
        <v>41568</v>
      </c>
    </row>
    <row r="128" spans="1:6" ht="12.75">
      <c r="A128" s="54" t="s">
        <v>211</v>
      </c>
      <c r="C128" s="27">
        <f>C108</f>
        <v>2244.997444016078</v>
      </c>
      <c r="D128" s="27">
        <f>D108</f>
        <v>2244.997444016078</v>
      </c>
      <c r="E128" s="27">
        <f>E108</f>
        <v>2244.997444016078</v>
      </c>
      <c r="F128" s="27">
        <f>F108</f>
        <v>2244.997444016078</v>
      </c>
    </row>
    <row r="129" spans="1:6" ht="12.75">
      <c r="A129" s="55" t="s">
        <v>228</v>
      </c>
      <c r="C129" s="28">
        <f>C127+C128</f>
        <v>40280.197444016085</v>
      </c>
      <c r="D129" s="28">
        <f>D127+D128</f>
        <v>40280.197444016085</v>
      </c>
      <c r="E129" s="28">
        <f>E127+E128</f>
        <v>43620.99744401608</v>
      </c>
      <c r="F129" s="28">
        <f>F127+F128</f>
        <v>43812.99744401608</v>
      </c>
    </row>
    <row r="130" spans="1:6" ht="12.75">
      <c r="A130" s="56"/>
      <c r="B130" s="141"/>
      <c r="C130" s="25"/>
      <c r="D130" s="25"/>
      <c r="E130" s="25"/>
      <c r="F130" s="25"/>
    </row>
    <row r="131" spans="1:6" ht="12.75">
      <c r="A131" s="54" t="s">
        <v>229</v>
      </c>
      <c r="C131" s="27">
        <f>C129</f>
        <v>40280.197444016085</v>
      </c>
      <c r="D131" s="27">
        <f>D129</f>
        <v>40280.197444016085</v>
      </c>
      <c r="E131" s="27">
        <f>E129</f>
        <v>43620.99744401608</v>
      </c>
      <c r="F131" s="27">
        <f>F129</f>
        <v>43812.99744401608</v>
      </c>
    </row>
    <row r="132" spans="1:6" ht="12.75">
      <c r="A132" s="54" t="s">
        <v>230</v>
      </c>
      <c r="C132" s="27">
        <f>C122</f>
        <v>12680.137921450332</v>
      </c>
      <c r="D132" s="27">
        <f>D122</f>
        <v>12680.137921450332</v>
      </c>
      <c r="E132" s="27">
        <f>E122</f>
        <v>12574.788468776733</v>
      </c>
      <c r="F132" s="27">
        <f>F122</f>
        <v>12574.788468776733</v>
      </c>
    </row>
    <row r="133" spans="1:6" ht="12.75">
      <c r="A133" s="55" t="s">
        <v>234</v>
      </c>
      <c r="C133" s="28">
        <f>C131-C132</f>
        <v>27600.059522565753</v>
      </c>
      <c r="D133" s="28">
        <f>D131-D132</f>
        <v>27600.059522565753</v>
      </c>
      <c r="E133" s="28">
        <f>E131-E132</f>
        <v>31046.208975239348</v>
      </c>
      <c r="F133" s="28">
        <f>F131-F132</f>
        <v>31238.208975239348</v>
      </c>
    </row>
    <row r="134" spans="1:6" ht="12.75">
      <c r="A134" s="56"/>
      <c r="B134" s="141"/>
      <c r="C134" s="25"/>
      <c r="D134" s="25"/>
      <c r="E134" s="25"/>
      <c r="F134" s="25"/>
    </row>
    <row r="135" spans="1:6" ht="12.75">
      <c r="A135" s="54" t="s">
        <v>235</v>
      </c>
      <c r="C135" s="15">
        <f>((C24*C97)/(365/C23))</f>
        <v>3.963372890173866</v>
      </c>
      <c r="D135" s="15">
        <f>((D24*D97)/(365/D23))</f>
        <v>3.963372890173866</v>
      </c>
      <c r="E135" s="15">
        <f>((E24*E97)/(365/E23))</f>
        <v>3.963372890173866</v>
      </c>
      <c r="F135" s="15">
        <f>((F24*F97)/(365/F23))</f>
        <v>3.963372890173866</v>
      </c>
    </row>
    <row r="136" spans="1:6" ht="12.75">
      <c r="A136" s="54" t="s">
        <v>236</v>
      </c>
      <c r="C136" s="15">
        <f>((C24*C97)/(365/C23))/(C18/21)</f>
        <v>11.890118670521598</v>
      </c>
      <c r="D136" s="15">
        <f>((D24*D97)/(365/D23))/(D18/21)</f>
        <v>11.890118670521598</v>
      </c>
      <c r="E136" s="15">
        <f>((E24*E97)/(365/E23))/(E18/21)</f>
        <v>11.890118670521598</v>
      </c>
      <c r="F136" s="15">
        <f>((F24*F97)/(365/F23))/(F18/21)</f>
        <v>11.890118670521598</v>
      </c>
    </row>
    <row r="137" spans="1:6" ht="12.75">
      <c r="A137" s="54" t="s">
        <v>237</v>
      </c>
      <c r="C137" s="15">
        <f>(C135*C19)/C23</f>
        <v>6.794353526012341</v>
      </c>
      <c r="D137" s="15">
        <f>(D135*D19)/D23</f>
        <v>6.794353526012341</v>
      </c>
      <c r="E137" s="15">
        <f>(E135*E19)/E23</f>
        <v>6.794353526012341</v>
      </c>
      <c r="F137" s="15">
        <f>(F135*F19)/F23</f>
        <v>6.794353526012341</v>
      </c>
    </row>
    <row r="138" spans="1:6" ht="12.75">
      <c r="A138" s="54" t="s">
        <v>238</v>
      </c>
      <c r="C138" s="15">
        <f>(C135*C19)/C23*(365/C19)*C20+((C135*C19)/C23*(365/C19))</f>
        <v>43.39893314740383</v>
      </c>
      <c r="D138" s="15">
        <f>(D135*D19)/D23*(365/D19)*D20+((D135*D19)/D23*(365/D19))</f>
        <v>43.39893314740383</v>
      </c>
      <c r="E138" s="15">
        <f>(E135*E19)/E23*(365/E19)*E20+((E135*E19)/E23*(365/E19))</f>
        <v>43.39893314740383</v>
      </c>
      <c r="F138" s="15">
        <f>(F135*F19)/F23*(365/F19)*F20+((F135*F19)/F23*(365/F19))</f>
        <v>43.39893314740383</v>
      </c>
    </row>
    <row r="139" spans="1:6" ht="12.75">
      <c r="A139" s="55" t="s">
        <v>239</v>
      </c>
      <c r="C139" s="28">
        <f>(C138*C15)</f>
        <v>6509.839972110574</v>
      </c>
      <c r="D139" s="28">
        <f>(D138*D15)</f>
        <v>6509.839972110574</v>
      </c>
      <c r="E139" s="28">
        <f>(E138*E15)</f>
        <v>6509.839972110574</v>
      </c>
      <c r="F139" s="28">
        <f>(F138*F15)</f>
        <v>6509.839972110574</v>
      </c>
    </row>
    <row r="140" spans="1:6" ht="12.75">
      <c r="A140" s="57"/>
      <c r="B140" s="141"/>
      <c r="C140" s="58"/>
      <c r="D140" s="58"/>
      <c r="E140" s="58"/>
      <c r="F140" s="58"/>
    </row>
    <row r="141" spans="1:6" ht="12.75">
      <c r="A141" s="55" t="s">
        <v>240</v>
      </c>
      <c r="C141" s="28">
        <f>(C133-C139)</f>
        <v>21090.21955045518</v>
      </c>
      <c r="D141" s="28">
        <f>(D133-D139)</f>
        <v>21090.21955045518</v>
      </c>
      <c r="E141" s="28">
        <f>(E133-E139)</f>
        <v>24536.369003128773</v>
      </c>
      <c r="F141" s="28">
        <f>(F133-F139)</f>
        <v>24728.369003128773</v>
      </c>
    </row>
    <row r="142" spans="1:6" ht="12.75">
      <c r="A142" s="56"/>
      <c r="B142" s="141"/>
      <c r="C142" s="25"/>
      <c r="D142" s="25"/>
      <c r="E142" s="25"/>
      <c r="F142" s="25"/>
    </row>
    <row r="143" spans="1:5" ht="12.75">
      <c r="A143" s="124"/>
      <c r="B143" s="117"/>
      <c r="C143" s="117"/>
      <c r="D143" s="117"/>
      <c r="E143" s="126"/>
    </row>
    <row r="144" spans="1:5" ht="15.75">
      <c r="A144" s="144" t="s">
        <v>241</v>
      </c>
      <c r="B144" s="116"/>
      <c r="C144" s="116"/>
      <c r="D144" s="116"/>
      <c r="E144" s="116"/>
    </row>
    <row r="145" spans="1:6" ht="12.75">
      <c r="A145" s="56"/>
      <c r="B145" s="25"/>
      <c r="C145" s="25"/>
      <c r="D145" s="25"/>
      <c r="E145" s="25"/>
      <c r="F145" s="141"/>
    </row>
    <row r="146" spans="1:6" ht="12.75">
      <c r="A146" s="308" t="str">
        <f>A7</f>
        <v>         Semen was produced from:</v>
      </c>
      <c r="B146" s="305"/>
      <c r="C146" s="118" t="str">
        <f>C7</f>
        <v>On-Farm</v>
      </c>
      <c r="D146" s="118" t="str">
        <f>D7</f>
        <v>Cooperative</v>
      </c>
      <c r="E146" s="118" t="str">
        <f>E7</f>
        <v>Fee-For-Service</v>
      </c>
      <c r="F146" s="118" t="str">
        <f>F7</f>
        <v>Commercial</v>
      </c>
    </row>
    <row r="147" spans="1:6" ht="12.75">
      <c r="A147" s="118" t="s">
        <v>200</v>
      </c>
      <c r="B147" s="116"/>
      <c r="C147" s="118" t="str">
        <f>C9</f>
        <v>Farm A</v>
      </c>
      <c r="D147" s="118" t="str">
        <f>D9</f>
        <v>Farm A</v>
      </c>
      <c r="E147" s="118" t="str">
        <f>E9</f>
        <v>Farm A</v>
      </c>
      <c r="F147" s="118" t="str">
        <f>F9</f>
        <v>Farm A</v>
      </c>
    </row>
    <row r="148" spans="1:6" ht="12.75">
      <c r="A148" s="111"/>
      <c r="B148" s="141"/>
      <c r="C148" s="79"/>
      <c r="D148" s="79"/>
      <c r="E148" s="79"/>
      <c r="F148" s="79"/>
    </row>
    <row r="149" spans="1:6" ht="12.75">
      <c r="A149" s="54" t="s">
        <v>780</v>
      </c>
      <c r="C149" s="27">
        <f>C56*C57</f>
        <v>54384.62800426545</v>
      </c>
      <c r="D149" s="27">
        <f>D56*D57</f>
        <v>54384.62800426545</v>
      </c>
      <c r="E149" s="27">
        <f>E56*E57</f>
        <v>54384.62800426545</v>
      </c>
      <c r="F149" s="27">
        <f>F56*F57</f>
        <v>54384.62800426545</v>
      </c>
    </row>
    <row r="150" spans="1:6" ht="12.75">
      <c r="A150" s="54" t="s">
        <v>242</v>
      </c>
      <c r="C150" s="27">
        <f>C58*C59</f>
        <v>34000</v>
      </c>
      <c r="D150" s="27">
        <f>D58*D59</f>
        <v>34000</v>
      </c>
      <c r="E150" s="27">
        <f>E58*E59</f>
        <v>34000</v>
      </c>
      <c r="F150" s="27">
        <f>F58*F59</f>
        <v>34000</v>
      </c>
    </row>
    <row r="151" spans="1:6" ht="12.75">
      <c r="A151" s="54" t="s">
        <v>243</v>
      </c>
      <c r="C151" s="27">
        <f>C60*C61</f>
        <v>4409.564432778278</v>
      </c>
      <c r="D151" s="27">
        <f>D60*D61</f>
        <v>4409.564432778278</v>
      </c>
      <c r="E151" s="27">
        <f>E60*E61</f>
        <v>4409.564432778278</v>
      </c>
      <c r="F151" s="27">
        <f>F60*F61</f>
        <v>4409.564432778278</v>
      </c>
    </row>
    <row r="152" spans="1:6" ht="12.75">
      <c r="A152" s="54" t="s">
        <v>787</v>
      </c>
      <c r="C152" s="27">
        <f>(C62*C63)+(C64*C65)</f>
        <v>917.3694715831494</v>
      </c>
      <c r="D152" s="27">
        <f>(D62*D63)+(D64*D65)</f>
        <v>917.3694715831494</v>
      </c>
      <c r="E152" s="27">
        <f>(E62*E63)+(E64*E65)</f>
        <v>245.02994011976048</v>
      </c>
      <c r="F152" s="27">
        <f>(F62*F63)+(F64*F65)</f>
        <v>245.02994011976048</v>
      </c>
    </row>
    <row r="153" spans="1:6" ht="12.75">
      <c r="A153" s="54" t="s">
        <v>244</v>
      </c>
      <c r="C153" s="27">
        <f>C149+C150+C151+C152</f>
        <v>93711.56190862689</v>
      </c>
      <c r="D153" s="27">
        <f>D149+D150+D151+D152</f>
        <v>93711.56190862689</v>
      </c>
      <c r="E153" s="27">
        <f>E149+E150+E151+E152</f>
        <v>93039.22237716349</v>
      </c>
      <c r="F153" s="27">
        <f>F149+F150+F151+F152</f>
        <v>93039.22237716349</v>
      </c>
    </row>
    <row r="154" spans="1:6" ht="12.75">
      <c r="A154" s="54" t="s">
        <v>245</v>
      </c>
      <c r="C154" s="27">
        <f>C67*C153</f>
        <v>74969.2495269015</v>
      </c>
      <c r="D154" s="27">
        <f>D67*D153</f>
        <v>74969.2495269015</v>
      </c>
      <c r="E154" s="27">
        <f>E67*E153</f>
        <v>74431.3779017308</v>
      </c>
      <c r="F154" s="27">
        <f>F67*F153</f>
        <v>74431.3779017308</v>
      </c>
    </row>
    <row r="155" spans="1:6" ht="12.75">
      <c r="A155" s="54" t="s">
        <v>246</v>
      </c>
      <c r="C155" s="27">
        <f>PMT(C68,C69,-(C154))</f>
        <v>8231.22061592226</v>
      </c>
      <c r="D155" s="27">
        <f>PMT(D68,D69,-(D154))</f>
        <v>8231.22061592226</v>
      </c>
      <c r="E155" s="27">
        <f>PMT(E68,E69,-(E154))</f>
        <v>8172.165202699323</v>
      </c>
      <c r="F155" s="27">
        <f>PMT(F68,F69,-(F154))</f>
        <v>8172.165202699323</v>
      </c>
    </row>
    <row r="156" spans="1:6" ht="12.75">
      <c r="A156" s="54" t="s">
        <v>247</v>
      </c>
      <c r="C156" s="27">
        <f>(C73*C74*C75*C76)+(C77*C78*C79*C80)+(C81*C82*C83*C84)</f>
        <v>33150</v>
      </c>
      <c r="D156" s="27">
        <f>(D73*D74*D75*D76)+(D77*D78*D79*D80)+(D81*D82*D83*D84)</f>
        <v>33150</v>
      </c>
      <c r="E156" s="27">
        <f>(E73*E74*E75*E76)+(E77*E78*E79*E80)+(E81*E82*E83*E84)</f>
        <v>33150</v>
      </c>
      <c r="F156" s="27">
        <f>(F73*F74*F75*F76)+(F77*F78*F79*F80)+(F81*F82*F83*F84)</f>
        <v>33150</v>
      </c>
    </row>
    <row r="157" spans="1:6" ht="12.75">
      <c r="A157" s="54" t="s">
        <v>248</v>
      </c>
      <c r="C157" s="27">
        <f>(C153*C70)+(C153*C71)</f>
        <v>1405.6734286294034</v>
      </c>
      <c r="D157" s="27">
        <f>(D153*D70)+(D153*D71)</f>
        <v>1405.6734286294034</v>
      </c>
      <c r="E157" s="27">
        <f>(E153*E70)+(E153*E71)</f>
        <v>1395.5883356574523</v>
      </c>
      <c r="F157" s="27">
        <f>(F153*F70)+(F153*F71)</f>
        <v>1395.5883356574523</v>
      </c>
    </row>
    <row r="158" spans="1:6" ht="12.75">
      <c r="A158" s="56"/>
      <c r="B158" s="25"/>
      <c r="C158" s="25"/>
      <c r="D158" s="25"/>
      <c r="E158" s="25"/>
      <c r="F158" s="141"/>
    </row>
    <row r="159" spans="1:5" ht="15.75">
      <c r="A159" s="88" t="s">
        <v>249</v>
      </c>
      <c r="B159" s="89"/>
      <c r="C159" s="89"/>
      <c r="D159" s="89"/>
      <c r="E159" s="89"/>
    </row>
    <row r="160" spans="1:6" ht="12.75">
      <c r="A160" s="23"/>
      <c r="B160" s="23"/>
      <c r="C160" s="23"/>
      <c r="D160" s="23"/>
      <c r="E160" s="23"/>
      <c r="F160" s="141"/>
    </row>
    <row r="161" spans="1:6" ht="12.75">
      <c r="A161" s="305" t="str">
        <f>A7</f>
        <v>         Semen was produced from:</v>
      </c>
      <c r="B161" s="305"/>
      <c r="C161" s="118" t="str">
        <f>C146</f>
        <v>On-Farm</v>
      </c>
      <c r="D161" s="118" t="str">
        <f>D146</f>
        <v>Cooperative</v>
      </c>
      <c r="E161" s="118" t="str">
        <f>E146</f>
        <v>Fee-For-Service</v>
      </c>
      <c r="F161" s="118" t="str">
        <f>F146</f>
        <v>Commercial</v>
      </c>
    </row>
    <row r="162" spans="1:6" ht="12.75">
      <c r="A162" s="4" t="s">
        <v>110</v>
      </c>
      <c r="C162" s="118" t="str">
        <f>(OnFarmStud!E$3)</f>
        <v>Semen</v>
      </c>
      <c r="D162" s="118" t="str">
        <f>(Cooperative!C$330)</f>
        <v>Semen</v>
      </c>
      <c r="E162" s="118" t="str">
        <f>(FeeForService!E$111)</f>
        <v>Semen</v>
      </c>
      <c r="F162" s="118" t="str">
        <f>E162</f>
        <v>Semen</v>
      </c>
    </row>
    <row r="163" spans="1:6" ht="12.75">
      <c r="A163" t="s">
        <v>518</v>
      </c>
      <c r="C163" s="13">
        <f>(OnFarmStud!E$20)</f>
        <v>365</v>
      </c>
      <c r="D163" s="13">
        <f>(Cooperative!D$332)</f>
        <v>365</v>
      </c>
      <c r="E163" s="13">
        <f>(FeeForService!G$113)</f>
        <v>365</v>
      </c>
      <c r="F163" s="13">
        <f>(CommercialStud!H$4)</f>
        <v>365</v>
      </c>
    </row>
    <row r="164" spans="1:6" ht="12.75">
      <c r="A164" t="s">
        <v>111</v>
      </c>
      <c r="C164" s="41">
        <f>(OnFarmStud!E$26)</f>
        <v>10.428571428571429</v>
      </c>
      <c r="D164" s="41">
        <f>(Cooperative!D333)</f>
        <v>10.428571428571429</v>
      </c>
      <c r="E164" s="41">
        <f>(FeeForService!G$115)</f>
        <v>10.428571428571429</v>
      </c>
      <c r="F164" s="41">
        <f>(CommercialStud!H$39)</f>
        <v>10.428571428571429</v>
      </c>
    </row>
    <row r="165" spans="1:6" ht="12.75">
      <c r="A165" t="s">
        <v>521</v>
      </c>
      <c r="C165" s="15">
        <f>(OnFarmStud!E$23)</f>
        <v>23.952095808383234</v>
      </c>
      <c r="D165" s="41">
        <f>(Cooperative!D334)</f>
        <v>23.952095808383234</v>
      </c>
      <c r="E165" s="15">
        <f>(FeeForService!G$116)</f>
        <v>23.952095808383234</v>
      </c>
      <c r="F165" s="15">
        <f>(CommercialStud!H$6)</f>
        <v>23.952095808383234</v>
      </c>
    </row>
    <row r="166" spans="1:6" ht="12.75">
      <c r="A166" t="s">
        <v>113</v>
      </c>
      <c r="C166" s="15">
        <f>(OnFarmStud!E$25)</f>
        <v>47.90419161676647</v>
      </c>
      <c r="D166" s="15">
        <f>(Cooperative!D335)</f>
        <v>47.90419161676647</v>
      </c>
      <c r="E166" s="15">
        <f>(FeeForService!G$117)</f>
        <v>47.90419161676647</v>
      </c>
      <c r="F166" s="15">
        <f>(CommercialStud!H$7)</f>
        <v>47.90419161676647</v>
      </c>
    </row>
    <row r="167" spans="1:6" ht="12.75">
      <c r="A167" t="s">
        <v>250</v>
      </c>
      <c r="C167" s="15">
        <f>(OnFarmStud!E$30)</f>
        <v>499.57228400342177</v>
      </c>
      <c r="D167" s="15">
        <f>(Cooperative!D336)</f>
        <v>499.57228400342177</v>
      </c>
      <c r="E167" s="15">
        <f>(FeeForService!G$118)</f>
        <v>499.57228400342177</v>
      </c>
      <c r="F167" s="15">
        <f>(CommercialStud!H$9)</f>
        <v>500</v>
      </c>
    </row>
    <row r="168" spans="1:6" ht="12.75">
      <c r="A168" t="s">
        <v>115</v>
      </c>
      <c r="C168" s="15">
        <f>(OnFarmStud!E$29)</f>
        <v>249.78614200171089</v>
      </c>
      <c r="D168" s="15">
        <f>(Cooperative!D337)</f>
        <v>249.78614200171089</v>
      </c>
      <c r="E168" s="15">
        <f>(FeeForService!G$119)</f>
        <v>249.78614200171089</v>
      </c>
      <c r="F168" s="15">
        <f>(CommercialStud!H$8)</f>
        <v>249.78614200171089</v>
      </c>
    </row>
    <row r="169" spans="1:6" ht="12.75">
      <c r="A169" t="s">
        <v>116</v>
      </c>
      <c r="C169" s="15">
        <f>(OnFarmStud!E$31)</f>
        <v>208.57142857142858</v>
      </c>
      <c r="D169" s="15">
        <f>(Cooperative!D338)</f>
        <v>208.57142857142858</v>
      </c>
      <c r="E169" s="15">
        <f>E25</f>
        <v>217.31394354148847</v>
      </c>
      <c r="F169" s="15">
        <f>F25</f>
        <v>217.31394354148847</v>
      </c>
    </row>
    <row r="170" spans="1:6" ht="12.75">
      <c r="A170" t="s">
        <v>959</v>
      </c>
      <c r="C170" s="15">
        <f>INT(PRODUCTION!B134)</f>
        <v>1981</v>
      </c>
      <c r="D170" s="15">
        <f>(Cooperative!D339)</f>
        <v>1981</v>
      </c>
      <c r="E170" s="13">
        <f>E101</f>
        <v>2155</v>
      </c>
      <c r="F170" s="13">
        <f>F101</f>
        <v>2165</v>
      </c>
    </row>
    <row r="171" spans="1:6" ht="12.75">
      <c r="A171" t="s">
        <v>251</v>
      </c>
      <c r="C171" s="13">
        <f>C34</f>
        <v>12</v>
      </c>
      <c r="D171" s="13">
        <f>D34</f>
        <v>12</v>
      </c>
      <c r="E171" s="13">
        <f>E34</f>
        <v>12</v>
      </c>
      <c r="F171" s="13">
        <f>F34</f>
        <v>12</v>
      </c>
    </row>
    <row r="172" spans="1:6" ht="12.75">
      <c r="A172" t="s">
        <v>119</v>
      </c>
      <c r="C172" s="121">
        <f>Summary!G17</f>
        <v>5006.299727211724</v>
      </c>
      <c r="D172" s="121">
        <f>(Cooperative!D381)</f>
        <v>5400.810995128464</v>
      </c>
      <c r="E172" s="121">
        <f>Summary!I17</f>
        <v>7518.45238095238</v>
      </c>
      <c r="F172" s="121">
        <f>Summary!J17</f>
        <v>5078.01848669146</v>
      </c>
    </row>
    <row r="173" spans="1:6" ht="12.75">
      <c r="A173" t="s">
        <v>252</v>
      </c>
      <c r="C173" s="121">
        <f>(C111)</f>
        <v>3461.285500427717</v>
      </c>
      <c r="D173" s="121">
        <f>(D111)</f>
        <v>3461.285500427717</v>
      </c>
      <c r="E173" s="121">
        <f>(E111)</f>
        <v>3148.740590248075</v>
      </c>
      <c r="F173" s="121">
        <f>(F111)</f>
        <v>3148.740590248075</v>
      </c>
    </row>
    <row r="174" spans="1:6" ht="12.75">
      <c r="A174" t="s">
        <v>253</v>
      </c>
      <c r="C174" s="121">
        <f>(C113)</f>
        <v>6538.714285714285</v>
      </c>
      <c r="D174" s="121">
        <f>(D113)</f>
        <v>6538.714285714285</v>
      </c>
      <c r="E174" s="121">
        <f>(E113)</f>
        <v>6812.792130025663</v>
      </c>
      <c r="F174" s="121">
        <f>(F113)</f>
        <v>6812.792130025663</v>
      </c>
    </row>
    <row r="175" spans="1:6" ht="12.75">
      <c r="A175" t="s">
        <v>254</v>
      </c>
      <c r="C175" s="121">
        <f>(C115)</f>
        <v>2429.44</v>
      </c>
      <c r="D175" s="121">
        <f>(D115)</f>
        <v>2429.44</v>
      </c>
      <c r="E175" s="121">
        <f>(E115)</f>
        <v>2531.272814371258</v>
      </c>
      <c r="F175" s="121">
        <f>(F115)</f>
        <v>2531.272814371258</v>
      </c>
    </row>
    <row r="176" spans="1:6" ht="12.75">
      <c r="A176" t="s">
        <v>781</v>
      </c>
      <c r="C176" s="121">
        <f>C120</f>
        <v>250.69813530833073</v>
      </c>
      <c r="D176" s="121">
        <f>D120</f>
        <v>250.69813530833073</v>
      </c>
      <c r="E176" s="121">
        <f>E120</f>
        <v>81.98293413173653</v>
      </c>
      <c r="F176" s="121">
        <f>F120</f>
        <v>81.98293413173653</v>
      </c>
    </row>
    <row r="177" spans="1:6" ht="12.75">
      <c r="A177" t="s">
        <v>255</v>
      </c>
      <c r="C177" s="121">
        <f>(C139)</f>
        <v>6509.839972110574</v>
      </c>
      <c r="D177" s="121">
        <f>(D139)</f>
        <v>6509.839972110574</v>
      </c>
      <c r="E177" s="121">
        <f>(E139)</f>
        <v>6509.839972110574</v>
      </c>
      <c r="F177" s="121">
        <f>(F139)</f>
        <v>6509.839972110574</v>
      </c>
    </row>
    <row r="178" spans="1:6" ht="12.75">
      <c r="A178" t="s">
        <v>256</v>
      </c>
      <c r="C178" s="121">
        <f aca="true" t="shared" si="0" ref="C178:F180">(C155)</f>
        <v>8231.22061592226</v>
      </c>
      <c r="D178" s="121">
        <f t="shared" si="0"/>
        <v>8231.22061592226</v>
      </c>
      <c r="E178" s="121">
        <f t="shared" si="0"/>
        <v>8172.165202699323</v>
      </c>
      <c r="F178" s="121">
        <f t="shared" si="0"/>
        <v>8172.165202699323</v>
      </c>
    </row>
    <row r="179" spans="1:6" ht="12.75">
      <c r="A179" t="s">
        <v>257</v>
      </c>
      <c r="C179" s="121">
        <f t="shared" si="0"/>
        <v>33150</v>
      </c>
      <c r="D179" s="121">
        <f t="shared" si="0"/>
        <v>33150</v>
      </c>
      <c r="E179" s="121">
        <f t="shared" si="0"/>
        <v>33150</v>
      </c>
      <c r="F179" s="121">
        <f t="shared" si="0"/>
        <v>33150</v>
      </c>
    </row>
    <row r="180" spans="1:6" ht="12.75">
      <c r="A180" t="s">
        <v>258</v>
      </c>
      <c r="C180" s="121">
        <f t="shared" si="0"/>
        <v>1405.6734286294034</v>
      </c>
      <c r="D180" s="121">
        <f t="shared" si="0"/>
        <v>1405.6734286294034</v>
      </c>
      <c r="E180" s="121">
        <f t="shared" si="0"/>
        <v>1395.5883356574523</v>
      </c>
      <c r="F180" s="121">
        <f t="shared" si="0"/>
        <v>1395.5883356574523</v>
      </c>
    </row>
    <row r="181" spans="1:6" ht="12.75">
      <c r="A181" t="s">
        <v>259</v>
      </c>
      <c r="C181" s="121">
        <f>PMT(C87,C88,-(C86))</f>
        <v>1259.0198865502045</v>
      </c>
      <c r="D181" s="121">
        <f>PMT(D87,D88,-(D86))</f>
        <v>1259.0198865502045</v>
      </c>
      <c r="E181" s="121">
        <f>PMT(E87,E88,-(E86))</f>
        <v>1259.0198865502045</v>
      </c>
      <c r="F181" s="121">
        <f>PMT(F87,F88,-(F86))</f>
        <v>1259.0198865502045</v>
      </c>
    </row>
    <row r="182" spans="1:6" ht="12.75">
      <c r="A182" t="s">
        <v>260</v>
      </c>
      <c r="C182" s="121">
        <f>C$89*C170</f>
        <v>2278.1499999999996</v>
      </c>
      <c r="D182" s="121">
        <f>D$89*D170</f>
        <v>2278.1499999999996</v>
      </c>
      <c r="E182" s="121">
        <f>E$89*E170</f>
        <v>2478.25</v>
      </c>
      <c r="F182" s="121">
        <f>F$89*F170</f>
        <v>2489.75</v>
      </c>
    </row>
    <row r="183" spans="1:6" ht="12.75">
      <c r="A183" t="s">
        <v>261</v>
      </c>
      <c r="C183" s="121">
        <f>C$90*C170</f>
        <v>1981</v>
      </c>
      <c r="D183" s="121">
        <f>D$90*D170</f>
        <v>1981</v>
      </c>
      <c r="E183" s="121">
        <f>E$90*E170</f>
        <v>2155</v>
      </c>
      <c r="F183" s="121">
        <f>F$90*F170</f>
        <v>2165</v>
      </c>
    </row>
    <row r="184" spans="2:6" ht="12.75">
      <c r="B184" s="21" t="s">
        <v>361</v>
      </c>
      <c r="C184" s="132">
        <f>SUM(C172:C183)</f>
        <v>72501.3415518745</v>
      </c>
      <c r="D184" s="132">
        <f>SUM(D172:D183)</f>
        <v>72895.85281979124</v>
      </c>
      <c r="E184" s="132">
        <f>SUM(E172:E183)</f>
        <v>75213.10424674666</v>
      </c>
      <c r="F184" s="132">
        <f>SUM(F172:F183)</f>
        <v>72794.17035248574</v>
      </c>
    </row>
    <row r="185" spans="1:6" ht="12.75">
      <c r="A185" s="23"/>
      <c r="B185" s="23"/>
      <c r="C185" s="23"/>
      <c r="D185" s="23"/>
      <c r="E185" s="23"/>
      <c r="F185" s="141"/>
    </row>
    <row r="186" spans="1:6" ht="12.75">
      <c r="A186" s="86" t="s">
        <v>860</v>
      </c>
      <c r="B186" s="87"/>
      <c r="C186" s="87"/>
      <c r="D186" s="87"/>
      <c r="E186" s="87"/>
      <c r="F186" s="2"/>
    </row>
    <row r="187" spans="1:6" ht="12.75">
      <c r="A187" s="110"/>
      <c r="B187" s="110"/>
      <c r="C187" s="110"/>
      <c r="D187" s="110"/>
      <c r="E187" s="110"/>
      <c r="F187" s="110"/>
    </row>
    <row r="188" spans="1:6" ht="12.75">
      <c r="A188" s="305" t="str">
        <f>A7</f>
        <v>         Semen was produced from:</v>
      </c>
      <c r="B188" s="305"/>
      <c r="C188" s="21" t="str">
        <f>C7</f>
        <v>On-Farm</v>
      </c>
      <c r="D188" s="21" t="str">
        <f>D7</f>
        <v>Cooperative</v>
      </c>
      <c r="E188" s="21" t="str">
        <f>E7</f>
        <v>Fee-For-Service</v>
      </c>
      <c r="F188" s="4" t="str">
        <f>F7</f>
        <v>Commercial</v>
      </c>
    </row>
    <row r="189" spans="1:6" ht="12.75">
      <c r="A189" s="4" t="s">
        <v>893</v>
      </c>
      <c r="C189" s="21" t="str">
        <f>C9</f>
        <v>Farm A</v>
      </c>
      <c r="D189" s="21" t="str">
        <f>D9</f>
        <v>Farm A</v>
      </c>
      <c r="E189" s="21" t="str">
        <f>E9</f>
        <v>Farm A</v>
      </c>
      <c r="F189" s="4" t="str">
        <f>F9</f>
        <v>Farm A</v>
      </c>
    </row>
    <row r="190" spans="1:6" ht="12.75">
      <c r="A190" s="23"/>
      <c r="B190" s="23"/>
      <c r="C190" s="25"/>
      <c r="D190" s="25"/>
      <c r="E190" s="25"/>
      <c r="F190" s="25"/>
    </row>
    <row r="191" spans="1:6" ht="12.75">
      <c r="A191" t="s">
        <v>264</v>
      </c>
      <c r="C191" s="15">
        <f>C25</f>
        <v>208.57142857142858</v>
      </c>
      <c r="D191" s="15">
        <f>D25</f>
        <v>208.57142857142858</v>
      </c>
      <c r="E191" s="15">
        <f>E25</f>
        <v>217.31394354148847</v>
      </c>
      <c r="F191" s="15">
        <f>F25</f>
        <v>217.31394354148847</v>
      </c>
    </row>
    <row r="192" spans="1:6" ht="12.75">
      <c r="A192" t="s">
        <v>265</v>
      </c>
      <c r="C192" s="15">
        <f>C24</f>
        <v>108.76925600853089</v>
      </c>
      <c r="D192" s="15">
        <f>D24</f>
        <v>108.76925600853089</v>
      </c>
      <c r="E192" s="15">
        <f>E24</f>
        <v>108.76925600853089</v>
      </c>
      <c r="F192" s="15">
        <f>F24</f>
        <v>108.76925600853089</v>
      </c>
    </row>
    <row r="193" spans="1:6" ht="12.75">
      <c r="A193" t="s">
        <v>266</v>
      </c>
      <c r="C193" s="53">
        <f aca="true" t="shared" si="1" ref="C193:F195">C13</f>
        <v>0.75</v>
      </c>
      <c r="D193" s="53">
        <f t="shared" si="1"/>
        <v>0.75</v>
      </c>
      <c r="E193" s="53">
        <f t="shared" si="1"/>
        <v>0.75</v>
      </c>
      <c r="F193" s="53">
        <f t="shared" si="1"/>
        <v>0.75</v>
      </c>
    </row>
    <row r="194" spans="1:6" ht="12.75">
      <c r="A194" t="s">
        <v>267</v>
      </c>
      <c r="C194" s="39">
        <f t="shared" si="1"/>
        <v>0.5</v>
      </c>
      <c r="D194" s="39">
        <f t="shared" si="1"/>
        <v>0.5</v>
      </c>
      <c r="E194" s="39">
        <f t="shared" si="1"/>
        <v>0.5</v>
      </c>
      <c r="F194" s="39">
        <f t="shared" si="1"/>
        <v>0.5</v>
      </c>
    </row>
    <row r="195" spans="1:6" ht="12.75">
      <c r="A195" t="s">
        <v>268</v>
      </c>
      <c r="C195" s="27">
        <f t="shared" si="1"/>
        <v>150</v>
      </c>
      <c r="D195" s="27">
        <f t="shared" si="1"/>
        <v>150</v>
      </c>
      <c r="E195" s="27">
        <f t="shared" si="1"/>
        <v>150</v>
      </c>
      <c r="F195" s="27">
        <f t="shared" si="1"/>
        <v>150</v>
      </c>
    </row>
    <row r="196" spans="1:6" ht="12.75">
      <c r="A196" t="s">
        <v>269</v>
      </c>
      <c r="C196" s="39">
        <f>C97</f>
        <v>0.38000000000000006</v>
      </c>
      <c r="D196" s="39">
        <f>D97</f>
        <v>0.38000000000000006</v>
      </c>
      <c r="E196" s="39">
        <f>E97</f>
        <v>0.38000000000000006</v>
      </c>
      <c r="F196" s="39">
        <f>F97</f>
        <v>0.38000000000000006</v>
      </c>
    </row>
    <row r="197" spans="1:6" ht="12.75">
      <c r="A197" t="s">
        <v>270</v>
      </c>
      <c r="C197" s="13">
        <f aca="true" t="shared" si="2" ref="C197:F199">C27</f>
        <v>10.44</v>
      </c>
      <c r="D197" s="13">
        <f t="shared" si="2"/>
        <v>10.44</v>
      </c>
      <c r="E197" s="13">
        <f t="shared" si="2"/>
        <v>10.9</v>
      </c>
      <c r="F197" s="13">
        <f t="shared" si="2"/>
        <v>10.95</v>
      </c>
    </row>
    <row r="198" spans="1:6" ht="12.75">
      <c r="A198" t="s">
        <v>271</v>
      </c>
      <c r="C198" s="40">
        <f t="shared" si="2"/>
        <v>9.500399999999999</v>
      </c>
      <c r="D198" s="40">
        <f t="shared" si="2"/>
        <v>9.500399999999997</v>
      </c>
      <c r="E198" s="40">
        <f t="shared" si="2"/>
        <v>9.919</v>
      </c>
      <c r="F198" s="40">
        <f t="shared" si="2"/>
        <v>9.9645</v>
      </c>
    </row>
    <row r="199" spans="1:6" ht="12.75">
      <c r="A199" t="s">
        <v>779</v>
      </c>
      <c r="C199" s="13">
        <f t="shared" si="2"/>
        <v>16</v>
      </c>
      <c r="D199" s="13">
        <f t="shared" si="2"/>
        <v>16</v>
      </c>
      <c r="E199" s="13">
        <f t="shared" si="2"/>
        <v>16</v>
      </c>
      <c r="F199" s="13">
        <f t="shared" si="2"/>
        <v>16</v>
      </c>
    </row>
    <row r="200" spans="1:6" ht="12.75">
      <c r="A200" t="s">
        <v>272</v>
      </c>
      <c r="C200" s="39">
        <f>C31</f>
        <v>0.01</v>
      </c>
      <c r="D200" s="39">
        <f>D31</f>
        <v>0.01</v>
      </c>
      <c r="E200" s="39">
        <f>E31</f>
        <v>0.01</v>
      </c>
      <c r="F200" s="39">
        <f>F31</f>
        <v>0.01</v>
      </c>
    </row>
    <row r="201" spans="1:6" ht="12.75">
      <c r="A201" t="s">
        <v>275</v>
      </c>
      <c r="C201" s="13">
        <f aca="true" t="shared" si="3" ref="C201:F207">C34</f>
        <v>12</v>
      </c>
      <c r="D201" s="13">
        <f t="shared" si="3"/>
        <v>12</v>
      </c>
      <c r="E201" s="13">
        <f t="shared" si="3"/>
        <v>12</v>
      </c>
      <c r="F201" s="13">
        <f t="shared" si="3"/>
        <v>12</v>
      </c>
    </row>
    <row r="202" spans="1:6" ht="12.75">
      <c r="A202" t="s">
        <v>276</v>
      </c>
      <c r="C202" s="19">
        <f t="shared" si="3"/>
        <v>1.6</v>
      </c>
      <c r="D202" s="19">
        <f t="shared" si="3"/>
        <v>1.6</v>
      </c>
      <c r="E202" s="19">
        <f t="shared" si="3"/>
        <v>1.6</v>
      </c>
      <c r="F202" s="19">
        <f t="shared" si="3"/>
        <v>1.6</v>
      </c>
    </row>
    <row r="203" spans="1:6" ht="12.75">
      <c r="A203" t="s">
        <v>277</v>
      </c>
      <c r="C203" s="13">
        <f t="shared" si="3"/>
        <v>425</v>
      </c>
      <c r="D203" s="13">
        <f t="shared" si="3"/>
        <v>425</v>
      </c>
      <c r="E203" s="13">
        <f t="shared" si="3"/>
        <v>425</v>
      </c>
      <c r="F203" s="13">
        <f t="shared" si="3"/>
        <v>425</v>
      </c>
    </row>
    <row r="204" spans="1:6" ht="12.75">
      <c r="A204" t="s">
        <v>278</v>
      </c>
      <c r="C204" s="52">
        <f t="shared" si="3"/>
        <v>0.32</v>
      </c>
      <c r="D204" s="52">
        <f t="shared" si="3"/>
        <v>0.32</v>
      </c>
      <c r="E204" s="52">
        <f t="shared" si="3"/>
        <v>0.32</v>
      </c>
      <c r="F204" s="52">
        <f t="shared" si="3"/>
        <v>0.32</v>
      </c>
    </row>
    <row r="205" spans="1:23" ht="12.75">
      <c r="A205" t="s">
        <v>279</v>
      </c>
      <c r="C205" s="42">
        <f t="shared" si="3"/>
        <v>0.055</v>
      </c>
      <c r="D205" s="42">
        <f t="shared" si="3"/>
        <v>0.055</v>
      </c>
      <c r="E205" s="42">
        <f t="shared" si="3"/>
        <v>0.055</v>
      </c>
      <c r="F205" s="42">
        <f t="shared" si="3"/>
        <v>0.055</v>
      </c>
      <c r="G205" s="13"/>
      <c r="H205" s="13"/>
      <c r="I205" s="13"/>
      <c r="J205" s="13"/>
      <c r="K205" s="13"/>
      <c r="L205"/>
      <c r="M205"/>
      <c r="N205"/>
      <c r="O205"/>
      <c r="P205"/>
      <c r="Q205" s="13"/>
      <c r="R205" s="13"/>
      <c r="V205"/>
      <c r="W205"/>
    </row>
    <row r="206" spans="1:23" ht="12.75">
      <c r="A206" t="s">
        <v>280</v>
      </c>
      <c r="C206" s="42">
        <f t="shared" si="3"/>
        <v>0.056</v>
      </c>
      <c r="D206" s="42">
        <f t="shared" si="3"/>
        <v>0.056</v>
      </c>
      <c r="E206" s="42">
        <f t="shared" si="3"/>
        <v>0.056</v>
      </c>
      <c r="F206" s="42">
        <f t="shared" si="3"/>
        <v>0.056</v>
      </c>
      <c r="G206" s="13"/>
      <c r="H206" s="13"/>
      <c r="I206" s="13"/>
      <c r="J206" s="13"/>
      <c r="K206" s="13"/>
      <c r="L206"/>
      <c r="M206"/>
      <c r="N206"/>
      <c r="O206"/>
      <c r="P206"/>
      <c r="Q206" s="13"/>
      <c r="R206" s="13"/>
      <c r="V206"/>
      <c r="W206"/>
    </row>
    <row r="207" spans="1:23" ht="12.75">
      <c r="A207" t="s">
        <v>281</v>
      </c>
      <c r="C207" s="42">
        <f t="shared" si="3"/>
        <v>0.055</v>
      </c>
      <c r="D207" s="42">
        <f t="shared" si="3"/>
        <v>0.055</v>
      </c>
      <c r="E207" s="42">
        <f t="shared" si="3"/>
        <v>0.055</v>
      </c>
      <c r="F207" s="42">
        <f t="shared" si="3"/>
        <v>0.055</v>
      </c>
      <c r="G207" s="13"/>
      <c r="H207" s="13"/>
      <c r="I207" s="13"/>
      <c r="J207" s="13"/>
      <c r="K207" s="13"/>
      <c r="L207"/>
      <c r="M207"/>
      <c r="N207"/>
      <c r="O207"/>
      <c r="P207"/>
      <c r="Q207" s="13"/>
      <c r="R207" s="13"/>
      <c r="V207"/>
      <c r="W207"/>
    </row>
    <row r="208" spans="3:23" ht="12.75">
      <c r="C208" s="13"/>
      <c r="D208" s="13"/>
      <c r="E208" s="13"/>
      <c r="F208" s="13"/>
      <c r="G208" s="13"/>
      <c r="H208" s="13"/>
      <c r="I208" s="13"/>
      <c r="J208" s="13"/>
      <c r="K208" s="13"/>
      <c r="L208"/>
      <c r="M208"/>
      <c r="N208"/>
      <c r="O208"/>
      <c r="P208"/>
      <c r="Q208" s="13"/>
      <c r="R208" s="13"/>
      <c r="V208"/>
      <c r="W208"/>
    </row>
    <row r="209" spans="1:23" ht="12.75">
      <c r="A209" s="4" t="s">
        <v>282</v>
      </c>
      <c r="C209" s="13"/>
      <c r="D209" s="13"/>
      <c r="E209" s="13"/>
      <c r="F209" s="13"/>
      <c r="G209" s="13"/>
      <c r="H209" s="13"/>
      <c r="I209" s="13"/>
      <c r="J209" s="13"/>
      <c r="K209" s="13"/>
      <c r="L209"/>
      <c r="M209"/>
      <c r="N209"/>
      <c r="O209"/>
      <c r="P209"/>
      <c r="Q209" s="13"/>
      <c r="R209" s="13"/>
      <c r="V209"/>
      <c r="W209"/>
    </row>
    <row r="210" spans="1:23" ht="12.75">
      <c r="A210" t="s">
        <v>283</v>
      </c>
      <c r="C210" s="40">
        <f>C99</f>
        <v>1.9175586578901496</v>
      </c>
      <c r="D210" s="40">
        <f>D99</f>
        <v>1.9175586578901496</v>
      </c>
      <c r="E210" s="40">
        <f>E99</f>
        <v>1.997935368101114</v>
      </c>
      <c r="F210" s="40">
        <f>F99</f>
        <v>1.997935368101114</v>
      </c>
      <c r="G210" s="13"/>
      <c r="H210" s="13"/>
      <c r="I210" s="13"/>
      <c r="J210" s="13"/>
      <c r="K210" s="13"/>
      <c r="L210"/>
      <c r="M210"/>
      <c r="N210"/>
      <c r="O210"/>
      <c r="P210"/>
      <c r="Q210" s="13"/>
      <c r="R210" s="13"/>
      <c r="V210"/>
      <c r="W210"/>
    </row>
    <row r="211" spans="1:23" ht="12.75">
      <c r="A211" t="s">
        <v>284</v>
      </c>
      <c r="C211" s="53">
        <f>C198/C197</f>
        <v>0.9099999999999999</v>
      </c>
      <c r="D211" s="53">
        <f>D198/D197</f>
        <v>0.9099999999999998</v>
      </c>
      <c r="E211" s="53">
        <f>E198/E197</f>
        <v>0.91</v>
      </c>
      <c r="F211" s="53">
        <f>F198/F197</f>
        <v>0.91</v>
      </c>
      <c r="G211" s="13"/>
      <c r="H211" s="13"/>
      <c r="I211" s="13"/>
      <c r="J211" s="13"/>
      <c r="K211" s="13"/>
      <c r="L211"/>
      <c r="M211"/>
      <c r="N211"/>
      <c r="O211"/>
      <c r="P211"/>
      <c r="Q211" s="13"/>
      <c r="R211" s="13"/>
      <c r="V211"/>
      <c r="W211"/>
    </row>
    <row r="212" spans="1:23" ht="12.75">
      <c r="A212" t="s">
        <v>285</v>
      </c>
      <c r="C212" s="40">
        <f>C101/C100</f>
        <v>18.21286706093336</v>
      </c>
      <c r="D212" s="40">
        <f>D101/D100</f>
        <v>18.21286706093336</v>
      </c>
      <c r="E212" s="40">
        <f>E101/E100</f>
        <v>19.812583804296512</v>
      </c>
      <c r="F212" s="40">
        <f>F101/F100</f>
        <v>19.904521548167956</v>
      </c>
      <c r="G212" s="13"/>
      <c r="H212" s="13"/>
      <c r="I212" s="13"/>
      <c r="J212" s="13"/>
      <c r="K212" s="13"/>
      <c r="L212"/>
      <c r="M212"/>
      <c r="N212"/>
      <c r="O212"/>
      <c r="P212"/>
      <c r="Q212" s="13"/>
      <c r="R212" s="13"/>
      <c r="V212"/>
      <c r="W212"/>
    </row>
    <row r="213" spans="1:23" ht="12.75">
      <c r="A213" t="s">
        <v>878</v>
      </c>
      <c r="C213" s="15">
        <f>(C102+C106)</f>
        <v>30787.617012550243</v>
      </c>
      <c r="D213" s="15">
        <f>(D102+D106)</f>
        <v>30787.617012550243</v>
      </c>
      <c r="E213" s="15">
        <f>(E102+E106)</f>
        <v>32875.61701255025</v>
      </c>
      <c r="F213" s="15">
        <f>(F102+F106)</f>
        <v>32995.61701255025</v>
      </c>
      <c r="I213" s="13"/>
      <c r="J213" s="13"/>
      <c r="K213" s="13"/>
      <c r="N213"/>
      <c r="O213"/>
      <c r="P213"/>
      <c r="S213" s="13"/>
      <c r="T213" s="13"/>
      <c r="V213"/>
      <c r="W213"/>
    </row>
    <row r="214" spans="1:23" ht="12.75">
      <c r="A214" t="s">
        <v>289</v>
      </c>
      <c r="C214" s="15">
        <f>C121/2000</f>
        <v>113.3458169375535</v>
      </c>
      <c r="D214" s="15">
        <f>D121/2000</f>
        <v>113.3458169375535</v>
      </c>
      <c r="E214" s="15">
        <f>E121/2000</f>
        <v>113.90533789563729</v>
      </c>
      <c r="F214" s="15">
        <f>F121/2000</f>
        <v>113.90533789563729</v>
      </c>
      <c r="I214" s="13"/>
      <c r="J214" s="13"/>
      <c r="K214" s="13"/>
      <c r="N214"/>
      <c r="O214"/>
      <c r="P214"/>
      <c r="S214" s="13"/>
      <c r="T214" s="13"/>
      <c r="V214"/>
      <c r="W214"/>
    </row>
    <row r="215" spans="1:23" ht="12.75">
      <c r="A215" t="s">
        <v>286</v>
      </c>
      <c r="C215" s="27">
        <f>C104</f>
        <v>38035.200000000004</v>
      </c>
      <c r="D215" s="27">
        <f>D104</f>
        <v>38035.200000000004</v>
      </c>
      <c r="E215" s="27">
        <f>E104</f>
        <v>41376</v>
      </c>
      <c r="F215" s="27">
        <f>F104</f>
        <v>41568</v>
      </c>
      <c r="I215" s="13"/>
      <c r="J215" s="13"/>
      <c r="K215" s="13"/>
      <c r="N215"/>
      <c r="O215"/>
      <c r="P215"/>
      <c r="S215" s="13"/>
      <c r="T215" s="13"/>
      <c r="V215"/>
      <c r="W215"/>
    </row>
    <row r="216" spans="1:23" ht="12.75">
      <c r="A216" t="s">
        <v>287</v>
      </c>
      <c r="C216" s="27">
        <f>C108</f>
        <v>2244.997444016078</v>
      </c>
      <c r="D216" s="27">
        <f>D108</f>
        <v>2244.997444016078</v>
      </c>
      <c r="E216" s="27">
        <f>E108</f>
        <v>2244.997444016078</v>
      </c>
      <c r="F216" s="27">
        <f>F108</f>
        <v>2244.997444016078</v>
      </c>
      <c r="I216" s="13"/>
      <c r="J216" s="13"/>
      <c r="K216" s="13"/>
      <c r="N216"/>
      <c r="O216"/>
      <c r="P216"/>
      <c r="S216" s="13"/>
      <c r="T216" s="13"/>
      <c r="V216"/>
      <c r="W216"/>
    </row>
    <row r="217" spans="1:23" ht="12.75">
      <c r="A217" t="s">
        <v>288</v>
      </c>
      <c r="C217" s="27">
        <f>C129</f>
        <v>40280.197444016085</v>
      </c>
      <c r="D217" s="27">
        <f>D129</f>
        <v>40280.197444016085</v>
      </c>
      <c r="E217" s="27">
        <f>E129</f>
        <v>43620.99744401608</v>
      </c>
      <c r="F217" s="27">
        <f>F129</f>
        <v>43812.99744401608</v>
      </c>
      <c r="I217" s="13"/>
      <c r="J217" s="13"/>
      <c r="K217" s="13"/>
      <c r="N217"/>
      <c r="O217"/>
      <c r="P217"/>
      <c r="S217" s="13"/>
      <c r="T217" s="13"/>
      <c r="V217"/>
      <c r="W217"/>
    </row>
    <row r="218" spans="1:23" ht="12.75">
      <c r="A218" s="115" t="s">
        <v>821</v>
      </c>
      <c r="I218" s="13"/>
      <c r="J218" s="13"/>
      <c r="K218" s="13"/>
      <c r="N218"/>
      <c r="O218"/>
      <c r="P218"/>
      <c r="S218" s="13"/>
      <c r="T218" s="13"/>
      <c r="V218"/>
      <c r="W218"/>
    </row>
    <row r="219" spans="1:23" ht="12.75">
      <c r="A219" t="s">
        <v>823</v>
      </c>
      <c r="C219" s="27">
        <f>C217-C122</f>
        <v>27600.059522565753</v>
      </c>
      <c r="D219" s="27">
        <f>D217-D122</f>
        <v>27600.059522565753</v>
      </c>
      <c r="E219" s="27">
        <f>E217-E122</f>
        <v>31046.208975239348</v>
      </c>
      <c r="F219" s="27">
        <f>F217-F122</f>
        <v>31238.208975239348</v>
      </c>
      <c r="I219" s="13"/>
      <c r="J219" s="13"/>
      <c r="K219" s="13"/>
      <c r="N219"/>
      <c r="O219"/>
      <c r="P219"/>
      <c r="S219" s="13"/>
      <c r="T219" s="13"/>
      <c r="V219"/>
      <c r="W219"/>
    </row>
    <row r="220" spans="1:23" ht="12.75">
      <c r="A220" t="s">
        <v>822</v>
      </c>
      <c r="C220" s="27">
        <f>C219-C139</f>
        <v>21090.21955045518</v>
      </c>
      <c r="D220" s="27">
        <f>D219-D139</f>
        <v>21090.21955045518</v>
      </c>
      <c r="E220" s="27">
        <f>E219-E139</f>
        <v>24536.369003128773</v>
      </c>
      <c r="F220" s="27">
        <f>F219-F139</f>
        <v>24728.369003128773</v>
      </c>
      <c r="I220" s="13"/>
      <c r="J220" s="13"/>
      <c r="K220" s="13"/>
      <c r="N220"/>
      <c r="O220"/>
      <c r="P220"/>
      <c r="S220" s="13"/>
      <c r="T220" s="13"/>
      <c r="V220"/>
      <c r="W220"/>
    </row>
    <row r="221" spans="1:23" ht="12.75">
      <c r="A221" t="s">
        <v>824</v>
      </c>
      <c r="C221" s="27">
        <f>C220-C172</f>
        <v>16083.919823243454</v>
      </c>
      <c r="D221" s="27">
        <f>D220-D172</f>
        <v>15689.408555326714</v>
      </c>
      <c r="E221" s="27">
        <f>E220-E172</f>
        <v>17017.916622176395</v>
      </c>
      <c r="F221" s="27">
        <f>F220-F172</f>
        <v>19650.350516437313</v>
      </c>
      <c r="I221" s="13"/>
      <c r="J221" s="13"/>
      <c r="K221" s="13"/>
      <c r="N221"/>
      <c r="O221"/>
      <c r="P221"/>
      <c r="S221" s="13"/>
      <c r="T221" s="13"/>
      <c r="V221"/>
      <c r="W221"/>
    </row>
    <row r="222" spans="1:23" ht="12.75">
      <c r="A222" t="s">
        <v>825</v>
      </c>
      <c r="C222" s="158">
        <f>C221-C156</f>
        <v>-17066.080176756546</v>
      </c>
      <c r="D222" s="158">
        <f>D221-D156</f>
        <v>-17460.591444673286</v>
      </c>
      <c r="E222" s="158">
        <f>E221-E156</f>
        <v>-16132.083377823605</v>
      </c>
      <c r="F222" s="158">
        <f>F221-F156</f>
        <v>-13499.649483562687</v>
      </c>
      <c r="I222" s="13"/>
      <c r="J222" s="13"/>
      <c r="K222" s="13"/>
      <c r="N222"/>
      <c r="O222"/>
      <c r="P222"/>
      <c r="S222" s="13"/>
      <c r="T222" s="13"/>
      <c r="V222"/>
      <c r="W222"/>
    </row>
    <row r="223" spans="1:23" ht="12.75">
      <c r="A223" t="s">
        <v>826</v>
      </c>
      <c r="C223" s="158">
        <f>C222-C182</f>
        <v>-19344.230176756544</v>
      </c>
      <c r="D223" s="158">
        <f>D222-D182</f>
        <v>-19738.741444673287</v>
      </c>
      <c r="E223" s="158">
        <f>E222-E182</f>
        <v>-18610.333377823605</v>
      </c>
      <c r="F223" s="158">
        <f>F222-F182</f>
        <v>-15989.399483562687</v>
      </c>
      <c r="I223" s="13"/>
      <c r="J223" s="13"/>
      <c r="K223" s="13"/>
      <c r="N223"/>
      <c r="O223"/>
      <c r="P223"/>
      <c r="S223" s="13"/>
      <c r="T223" s="13"/>
      <c r="V223"/>
      <c r="W223"/>
    </row>
    <row r="224" spans="1:23" ht="12.75">
      <c r="A224" t="s">
        <v>827</v>
      </c>
      <c r="C224" s="158">
        <f>+C223-C183</f>
        <v>-21325.230176756544</v>
      </c>
      <c r="D224" s="158">
        <f>+D223-D183</f>
        <v>-21719.741444673287</v>
      </c>
      <c r="E224" s="158">
        <f>+E223-E183</f>
        <v>-20765.333377823605</v>
      </c>
      <c r="F224" s="158">
        <f>+F223-F183</f>
        <v>-18154.399483562687</v>
      </c>
      <c r="I224" s="13"/>
      <c r="J224" s="13"/>
      <c r="K224" s="13"/>
      <c r="N224"/>
      <c r="O224"/>
      <c r="P224"/>
      <c r="S224" s="13"/>
      <c r="T224" s="13"/>
      <c r="V224"/>
      <c r="W224"/>
    </row>
    <row r="225" spans="1:23" ht="12.75">
      <c r="A225" t="s">
        <v>828</v>
      </c>
      <c r="C225" s="158">
        <f>+C224-C181</f>
        <v>-22584.25006330675</v>
      </c>
      <c r="D225" s="158">
        <f>+D224-D181</f>
        <v>-22978.761331223493</v>
      </c>
      <c r="E225" s="158">
        <f>+E224-E181</f>
        <v>-22024.35326437381</v>
      </c>
      <c r="F225" s="158">
        <f>+F224-F181</f>
        <v>-19413.419370112893</v>
      </c>
      <c r="I225" s="13"/>
      <c r="J225" s="13"/>
      <c r="K225" s="13"/>
      <c r="N225"/>
      <c r="O225"/>
      <c r="P225"/>
      <c r="S225" s="13"/>
      <c r="T225" s="13"/>
      <c r="V225"/>
      <c r="W225"/>
    </row>
    <row r="226" spans="1:23" ht="12.75">
      <c r="A226" t="s">
        <v>829</v>
      </c>
      <c r="C226" s="158">
        <f>C225-C178</f>
        <v>-30815.47067922901</v>
      </c>
      <c r="D226" s="158">
        <f>D225-D178</f>
        <v>-31209.981947145752</v>
      </c>
      <c r="E226" s="158">
        <f>E225-E178</f>
        <v>-30196.518467073132</v>
      </c>
      <c r="F226" s="158">
        <f>F225-F178</f>
        <v>-27585.584572812215</v>
      </c>
      <c r="I226" s="13"/>
      <c r="J226" s="13"/>
      <c r="K226" s="13"/>
      <c r="N226"/>
      <c r="O226"/>
      <c r="P226"/>
      <c r="S226" s="13"/>
      <c r="T226" s="13"/>
      <c r="V226"/>
      <c r="W226"/>
    </row>
    <row r="227" spans="1:23" ht="12.75">
      <c r="A227" t="s">
        <v>830</v>
      </c>
      <c r="C227" s="158">
        <f>C226-C157</f>
        <v>-32221.144107858414</v>
      </c>
      <c r="D227" s="158">
        <f>D226-D157</f>
        <v>-32615.655375775157</v>
      </c>
      <c r="E227" s="158">
        <f>E226-E157</f>
        <v>-31592.106802730585</v>
      </c>
      <c r="F227" s="158">
        <f>F226-F157</f>
        <v>-28981.172908469667</v>
      </c>
      <c r="I227" s="13"/>
      <c r="J227" s="13"/>
      <c r="K227" s="13"/>
      <c r="N227"/>
      <c r="O227"/>
      <c r="P227"/>
      <c r="S227" s="13"/>
      <c r="T227" s="13"/>
      <c r="V227"/>
      <c r="W227"/>
    </row>
    <row r="228" spans="1:23" ht="12.75">
      <c r="A228" s="23"/>
      <c r="B228" s="23"/>
      <c r="C228" s="25"/>
      <c r="D228" s="25"/>
      <c r="E228" s="23"/>
      <c r="F228" s="23"/>
      <c r="I228" s="13"/>
      <c r="J228" s="13"/>
      <c r="K228" s="13"/>
      <c r="N228"/>
      <c r="O228"/>
      <c r="P228"/>
      <c r="S228" s="13"/>
      <c r="T228" s="13"/>
      <c r="V228"/>
      <c r="W228"/>
    </row>
    <row r="229" spans="1:23" ht="12.75">
      <c r="A229" s="23"/>
      <c r="B229" s="23"/>
      <c r="C229" s="25"/>
      <c r="D229" s="25"/>
      <c r="E229" s="23"/>
      <c r="F229" s="23"/>
      <c r="I229" s="13"/>
      <c r="J229" s="13"/>
      <c r="K229" s="13"/>
      <c r="N229"/>
      <c r="O229"/>
      <c r="P229"/>
      <c r="S229" s="13"/>
      <c r="T229" s="13"/>
      <c r="V229"/>
      <c r="W229"/>
    </row>
    <row r="230" spans="1:23" ht="12.75">
      <c r="A230" s="115" t="s">
        <v>831</v>
      </c>
      <c r="C230" s="158"/>
      <c r="D230" s="158"/>
      <c r="E230" s="158"/>
      <c r="F230" s="158"/>
      <c r="I230" s="13"/>
      <c r="J230" s="13"/>
      <c r="K230" s="13"/>
      <c r="N230"/>
      <c r="O230"/>
      <c r="P230"/>
      <c r="S230" s="13"/>
      <c r="T230" s="13"/>
      <c r="V230"/>
      <c r="W230"/>
    </row>
    <row r="231" spans="1:23" ht="12.75">
      <c r="A231" t="s">
        <v>262</v>
      </c>
      <c r="C231" s="164" t="s">
        <v>263</v>
      </c>
      <c r="D231" s="164" t="s">
        <v>263</v>
      </c>
      <c r="E231" s="164" t="s">
        <v>263</v>
      </c>
      <c r="F231" s="164" t="s">
        <v>263</v>
      </c>
      <c r="I231" s="13"/>
      <c r="J231" s="13"/>
      <c r="K231" s="13"/>
      <c r="N231"/>
      <c r="O231"/>
      <c r="P231"/>
      <c r="S231" s="13"/>
      <c r="T231" s="13"/>
      <c r="V231"/>
      <c r="W231"/>
    </row>
    <row r="232" spans="1:23" ht="12.75">
      <c r="A232" s="130">
        <v>1.6</v>
      </c>
      <c r="C232" s="158">
        <f>(($A232*(C$170*C$171))+C$108)-C$184</f>
        <v>-32221.144107858418</v>
      </c>
      <c r="D232" s="158">
        <f aca="true" t="shared" si="4" ref="D232:D242">((A232*(D$170*D$171))+D$108)-D$184</f>
        <v>-32615.655375775154</v>
      </c>
      <c r="E232" s="158">
        <f>((A232*(E$170*E$171))+E$108)-E$184</f>
        <v>-31592.10680273058</v>
      </c>
      <c r="F232" s="158">
        <f aca="true" t="shared" si="5" ref="F232:F242">((A232*(F$170*F$171))+F$108)-F$184</f>
        <v>-28981.172908469664</v>
      </c>
      <c r="I232" s="13"/>
      <c r="J232" s="13"/>
      <c r="K232" s="13"/>
      <c r="N232"/>
      <c r="O232"/>
      <c r="P232"/>
      <c r="S232" s="13"/>
      <c r="T232" s="13"/>
      <c r="V232"/>
      <c r="W232"/>
    </row>
    <row r="233" spans="1:23" ht="12.75">
      <c r="A233" s="77">
        <v>1.8</v>
      </c>
      <c r="C233" s="158">
        <f>(($A233*(C$170*C$171))+C$108)-C$184</f>
        <v>-27466.744107858423</v>
      </c>
      <c r="D233" s="158">
        <f t="shared" si="4"/>
        <v>-27861.25537577516</v>
      </c>
      <c r="E233" s="158">
        <f aca="true" t="shared" si="6" ref="E233:E242">(($A233*(E$170*E$171))+E$108)-E$184</f>
        <v>-26420.10680273058</v>
      </c>
      <c r="F233" s="158">
        <f t="shared" si="5"/>
        <v>-23785.172908469664</v>
      </c>
      <c r="I233" s="13"/>
      <c r="J233" s="13"/>
      <c r="K233" s="13"/>
      <c r="N233"/>
      <c r="O233"/>
      <c r="P233"/>
      <c r="S233" s="13"/>
      <c r="T233" s="13"/>
      <c r="V233"/>
      <c r="W233"/>
    </row>
    <row r="234" spans="1:23" ht="12.75">
      <c r="A234" s="77">
        <v>2</v>
      </c>
      <c r="C234" s="158">
        <f>((A$234*(C$170*C$171))+C$108)-C$184</f>
        <v>-22712.344107858422</v>
      </c>
      <c r="D234" s="158">
        <f t="shared" si="4"/>
        <v>-23106.855375775158</v>
      </c>
      <c r="E234" s="158">
        <f t="shared" si="6"/>
        <v>-21248.10680273058</v>
      </c>
      <c r="F234" s="158">
        <f t="shared" si="5"/>
        <v>-18589.172908469664</v>
      </c>
      <c r="I234" s="13"/>
      <c r="J234" s="13"/>
      <c r="K234" s="13"/>
      <c r="N234"/>
      <c r="O234"/>
      <c r="P234"/>
      <c r="S234" s="13"/>
      <c r="T234" s="13"/>
      <c r="V234"/>
      <c r="W234"/>
    </row>
    <row r="235" spans="1:23" ht="12.75">
      <c r="A235" s="77">
        <v>2.2</v>
      </c>
      <c r="C235" s="158">
        <f>(($A235*(C$170*C$171))+C$108)-C$184</f>
        <v>-17957.94410785842</v>
      </c>
      <c r="D235" s="158">
        <f t="shared" si="4"/>
        <v>-18352.455375775156</v>
      </c>
      <c r="E235" s="158">
        <f t="shared" si="6"/>
        <v>-16076.106802730574</v>
      </c>
      <c r="F235" s="158">
        <f t="shared" si="5"/>
        <v>-13393.172908469656</v>
      </c>
      <c r="I235" s="13"/>
      <c r="J235" s="13"/>
      <c r="K235" s="13"/>
      <c r="N235"/>
      <c r="O235"/>
      <c r="P235"/>
      <c r="S235" s="13"/>
      <c r="T235" s="13"/>
      <c r="V235"/>
      <c r="W235"/>
    </row>
    <row r="236" spans="1:23" ht="12.75">
      <c r="A236" s="77">
        <v>2.4</v>
      </c>
      <c r="C236" s="158">
        <f>((A$236*(C$170*C$171))+C$108)-C$184</f>
        <v>-13203.544107858426</v>
      </c>
      <c r="D236" s="158">
        <f t="shared" si="4"/>
        <v>-13598.055375775162</v>
      </c>
      <c r="E236" s="158">
        <f t="shared" si="6"/>
        <v>-10904.106802730581</v>
      </c>
      <c r="F236" s="158">
        <f t="shared" si="5"/>
        <v>-8197.172908469664</v>
      </c>
      <c r="I236" s="13"/>
      <c r="J236" s="13"/>
      <c r="K236" s="13"/>
      <c r="N236"/>
      <c r="O236"/>
      <c r="P236"/>
      <c r="S236" s="13"/>
      <c r="T236" s="13"/>
      <c r="V236"/>
      <c r="W236"/>
    </row>
    <row r="237" spans="1:23" ht="12.75">
      <c r="A237" s="77">
        <v>2.6</v>
      </c>
      <c r="C237" s="158">
        <f>((A$237*(C$170*C$171))+C$108)-C$184</f>
        <v>-8449.144107858418</v>
      </c>
      <c r="D237" s="158">
        <f t="shared" si="4"/>
        <v>-8843.655375775154</v>
      </c>
      <c r="E237" s="158">
        <f t="shared" si="6"/>
        <v>-5732.106802730588</v>
      </c>
      <c r="F237" s="158">
        <f t="shared" si="5"/>
        <v>-3001.172908469671</v>
      </c>
      <c r="I237" s="13"/>
      <c r="J237" s="13"/>
      <c r="K237" s="13"/>
      <c r="N237"/>
      <c r="O237"/>
      <c r="P237"/>
      <c r="S237" s="13"/>
      <c r="T237" s="13"/>
      <c r="V237"/>
      <c r="W237"/>
    </row>
    <row r="238" spans="1:23" ht="12.75">
      <c r="A238" s="77">
        <v>2.8</v>
      </c>
      <c r="C238" s="158">
        <f>((A$238*(C$170*C$171))+C$108)-C$184</f>
        <v>-3694.744107858438</v>
      </c>
      <c r="D238" s="158">
        <f t="shared" si="4"/>
        <v>-4089.255375775174</v>
      </c>
      <c r="E238" s="158">
        <f t="shared" si="6"/>
        <v>-560.1068027305882</v>
      </c>
      <c r="F238" s="158">
        <f t="shared" si="5"/>
        <v>2194.827091530329</v>
      </c>
      <c r="I238" s="13"/>
      <c r="J238" s="13"/>
      <c r="K238" s="13"/>
      <c r="N238"/>
      <c r="O238"/>
      <c r="P238"/>
      <c r="S238" s="13"/>
      <c r="T238" s="13"/>
      <c r="V238"/>
      <c r="W238"/>
    </row>
    <row r="239" spans="1:23" ht="12.75">
      <c r="A239" s="77">
        <v>3</v>
      </c>
      <c r="C239" s="158">
        <f>((A$239*(C$170*C$171))+C$108)-C$184</f>
        <v>1059.6558921415708</v>
      </c>
      <c r="D239" s="158">
        <f t="shared" si="4"/>
        <v>665.1446242248348</v>
      </c>
      <c r="E239" s="158">
        <f t="shared" si="6"/>
        <v>4611.893197269412</v>
      </c>
      <c r="F239" s="158">
        <f t="shared" si="5"/>
        <v>7390.827091530329</v>
      </c>
      <c r="I239" s="13"/>
      <c r="J239" s="13"/>
      <c r="K239" s="13"/>
      <c r="N239"/>
      <c r="O239"/>
      <c r="P239"/>
      <c r="S239" s="13"/>
      <c r="T239" s="13"/>
      <c r="V239"/>
      <c r="W239"/>
    </row>
    <row r="240" spans="1:23" ht="12.75">
      <c r="A240" s="77">
        <v>3.2</v>
      </c>
      <c r="C240" s="158">
        <f>((A$240*(C$170*C$171))+C$108)-C$184</f>
        <v>5814.0558921415795</v>
      </c>
      <c r="D240" s="158">
        <f t="shared" si="4"/>
        <v>5419.544624224844</v>
      </c>
      <c r="E240" s="158">
        <f t="shared" si="6"/>
        <v>9783.893197269412</v>
      </c>
      <c r="F240" s="158">
        <f t="shared" si="5"/>
        <v>12586.82709153033</v>
      </c>
      <c r="I240" s="13"/>
      <c r="J240" s="13"/>
      <c r="K240" s="13"/>
      <c r="N240"/>
      <c r="O240"/>
      <c r="P240"/>
      <c r="S240" s="13"/>
      <c r="T240" s="13"/>
      <c r="V240"/>
      <c r="W240"/>
    </row>
    <row r="241" spans="1:23" ht="12.75">
      <c r="A241" s="77">
        <v>3.4</v>
      </c>
      <c r="C241" s="158">
        <f>((A$241*(C$170*C$171))+C$108)-C$184</f>
        <v>10568.455892141574</v>
      </c>
      <c r="D241" s="158">
        <f t="shared" si="4"/>
        <v>10173.944624224838</v>
      </c>
      <c r="E241" s="158">
        <f t="shared" si="6"/>
        <v>14955.893197269412</v>
      </c>
      <c r="F241" s="158">
        <f t="shared" si="5"/>
        <v>17782.82709153033</v>
      </c>
      <c r="I241" s="13"/>
      <c r="J241" s="13"/>
      <c r="K241" s="13"/>
      <c r="N241"/>
      <c r="O241"/>
      <c r="P241"/>
      <c r="S241" s="13"/>
      <c r="T241" s="13"/>
      <c r="V241"/>
      <c r="W241"/>
    </row>
    <row r="242" spans="1:23" ht="12.75">
      <c r="A242" s="77">
        <v>3.6</v>
      </c>
      <c r="C242" s="158">
        <f>((A$242*(C$170*C$171))+C$108)-C$184</f>
        <v>15322.855892141568</v>
      </c>
      <c r="D242" s="158">
        <f t="shared" si="4"/>
        <v>14928.344624224832</v>
      </c>
      <c r="E242" s="158">
        <f t="shared" si="6"/>
        <v>20127.89319726941</v>
      </c>
      <c r="F242" s="158">
        <f t="shared" si="5"/>
        <v>22978.82709153033</v>
      </c>
      <c r="I242" s="13"/>
      <c r="J242" s="13"/>
      <c r="K242" s="13"/>
      <c r="N242"/>
      <c r="O242"/>
      <c r="P242"/>
      <c r="S242" s="13"/>
      <c r="T242" s="13"/>
      <c r="V242"/>
      <c r="W242"/>
    </row>
    <row r="243" spans="1:23" ht="12.75">
      <c r="A243" s="23"/>
      <c r="B243" s="23"/>
      <c r="C243" s="25"/>
      <c r="D243" s="25"/>
      <c r="E243" s="23"/>
      <c r="F243" s="23"/>
      <c r="I243" s="13"/>
      <c r="J243" s="13"/>
      <c r="K243" s="13"/>
      <c r="N243"/>
      <c r="O243"/>
      <c r="P243"/>
      <c r="S243" s="13"/>
      <c r="T243" s="13"/>
      <c r="V243"/>
      <c r="W243"/>
    </row>
    <row r="244" spans="1:23" ht="12.75">
      <c r="A244" t="s">
        <v>8</v>
      </c>
      <c r="I244" s="13"/>
      <c r="J244" s="13"/>
      <c r="K244" s="13"/>
      <c r="N244"/>
      <c r="O244"/>
      <c r="P244"/>
      <c r="S244" s="13"/>
      <c r="T244" s="13"/>
      <c r="V244"/>
      <c r="W244"/>
    </row>
    <row r="245" spans="1:23" ht="12.75">
      <c r="A245" t="s">
        <v>290</v>
      </c>
      <c r="B245" t="s">
        <v>291</v>
      </c>
      <c r="I245" s="13"/>
      <c r="J245" s="13"/>
      <c r="K245" s="13"/>
      <c r="N245"/>
      <c r="O245"/>
      <c r="P245"/>
      <c r="S245" s="13"/>
      <c r="T245" s="13"/>
      <c r="V245"/>
      <c r="W245"/>
    </row>
    <row r="246" spans="2:23" ht="12.75">
      <c r="B246" t="s">
        <v>292</v>
      </c>
      <c r="I246" s="13"/>
      <c r="J246" s="13"/>
      <c r="K246" s="13"/>
      <c r="N246"/>
      <c r="O246"/>
      <c r="P246"/>
      <c r="S246" s="13"/>
      <c r="T246" s="13"/>
      <c r="V246"/>
      <c r="W246"/>
    </row>
    <row r="247" spans="1:23" ht="12.75">
      <c r="A247" t="s">
        <v>607</v>
      </c>
      <c r="B247" t="s">
        <v>293</v>
      </c>
      <c r="I247" s="13"/>
      <c r="J247" s="13"/>
      <c r="K247" s="13"/>
      <c r="N247"/>
      <c r="O247"/>
      <c r="P247"/>
      <c r="S247" s="13"/>
      <c r="T247" s="13"/>
      <c r="V247"/>
      <c r="W247"/>
    </row>
    <row r="248" spans="2:23" ht="12.75">
      <c r="B248" t="s">
        <v>294</v>
      </c>
      <c r="I248" s="13"/>
      <c r="J248" s="13"/>
      <c r="K248" s="13"/>
      <c r="N248"/>
      <c r="O248"/>
      <c r="P248"/>
      <c r="S248" s="13"/>
      <c r="T248" s="13"/>
      <c r="V248"/>
      <c r="W248"/>
    </row>
    <row r="249" spans="2:23" ht="12.75">
      <c r="B249" t="s">
        <v>295</v>
      </c>
      <c r="I249" s="13"/>
      <c r="J249" s="13"/>
      <c r="K249" s="13"/>
      <c r="N249"/>
      <c r="O249"/>
      <c r="P249"/>
      <c r="S249" s="13"/>
      <c r="T249" s="13"/>
      <c r="V249"/>
      <c r="W249"/>
    </row>
    <row r="250" spans="2:23" ht="12.75">
      <c r="B250" t="s">
        <v>296</v>
      </c>
      <c r="I250" s="13"/>
      <c r="J250" s="13"/>
      <c r="K250" s="13"/>
      <c r="N250"/>
      <c r="O250"/>
      <c r="P250"/>
      <c r="S250" s="13"/>
      <c r="T250" s="13"/>
      <c r="V250"/>
      <c r="W250"/>
    </row>
    <row r="251" spans="2:23" ht="12.75">
      <c r="B251" t="s">
        <v>297</v>
      </c>
      <c r="I251" s="13"/>
      <c r="J251" s="13"/>
      <c r="K251" s="13"/>
      <c r="N251"/>
      <c r="O251"/>
      <c r="P251"/>
      <c r="S251" s="13"/>
      <c r="T251" s="13"/>
      <c r="V251"/>
      <c r="W251"/>
    </row>
    <row r="252" ht="12.75">
      <c r="B252" t="s">
        <v>298</v>
      </c>
    </row>
    <row r="253" ht="12.75">
      <c r="B253" t="s">
        <v>299</v>
      </c>
    </row>
  </sheetData>
  <sheetProtection password="C57E" sheet="1"/>
  <mergeCells count="6">
    <mergeCell ref="A188:B188"/>
    <mergeCell ref="A161:B161"/>
    <mergeCell ref="A7:B7"/>
    <mergeCell ref="A52:B52"/>
    <mergeCell ref="A94:B94"/>
    <mergeCell ref="A146:B146"/>
  </mergeCells>
  <printOptions/>
  <pageMargins left="1" right="0.4" top="0.9" bottom="0.833333333333333" header="0.5" footer="0.333333333333333"/>
  <pageSetup horizontalDpi="300" verticalDpi="300" orientation="portrait" scale="90" r:id="rId3"/>
  <headerFooter alignWithMargins="0">
    <oddHeader>&amp;L&amp;"Arial,Bold"&amp;14Segregated-Early-Weaning Farm Using AI&amp;RPage &amp;P</oddHeader>
  </headerFooter>
  <rowBreaks count="5" manualBreakCount="5">
    <brk id="49" max="5" man="1"/>
    <brk id="91" max="5" man="1"/>
    <brk id="142" max="5" man="1"/>
    <brk id="185" max="5" man="1"/>
    <brk id="22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G. Levis</dc:creator>
  <cp:keywords/>
  <dc:description/>
  <cp:lastModifiedBy>Preferred Customer</cp:lastModifiedBy>
  <cp:lastPrinted>1999-05-24T15:20:42Z</cp:lastPrinted>
  <dcterms:created xsi:type="dcterms:W3CDTF">1998-08-20T21:41:42Z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